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И\БУХГАЛТЕРІЯ\КОНТРОЛЬ\КОНТРОЛІ Департамент КБІД\ДЕПАРТАМЕНТ ФІНАНСІВ\2022\Щопятниці 2022\Обл бюджет\"/>
    </mc:Choice>
  </mc:AlternateContent>
  <bookViews>
    <workbookView xWindow="0" yWindow="0" windowWidth="16380" windowHeight="8190" tabRatio="567" activeTab="2"/>
  </bookViews>
  <sheets>
    <sheet name="01.01.2022" sheetId="211" r:id="rId1"/>
    <sheet name="11.02.2022" sheetId="213" r:id="rId2"/>
    <sheet name="18.02.2022" sheetId="214" r:id="rId3"/>
  </sheets>
  <definedNames>
    <definedName name="_xlnm.Print_Titles" localSheetId="0">'01.01.2022'!$9:$11</definedName>
    <definedName name="_xlnm.Print_Area" localSheetId="0">'01.01.2022'!$A$1:$T$105</definedName>
  </definedNames>
  <calcPr calcId="162913"/>
</workbook>
</file>

<file path=xl/calcChain.xml><?xml version="1.0" encoding="utf-8"?>
<calcChain xmlns="http://schemas.openxmlformats.org/spreadsheetml/2006/main">
  <c r="S83" i="214" l="1"/>
  <c r="R83" i="214"/>
  <c r="Q83" i="214"/>
  <c r="Q84" i="214" s="1"/>
  <c r="P83" i="214"/>
  <c r="O83" i="214"/>
  <c r="M83" i="214"/>
  <c r="L83" i="214"/>
  <c r="K83" i="214"/>
  <c r="I83" i="214"/>
  <c r="H83" i="214"/>
  <c r="G83" i="214"/>
  <c r="F82" i="214"/>
  <c r="F81" i="214"/>
  <c r="F80" i="214"/>
  <c r="N79" i="214"/>
  <c r="J79" i="214"/>
  <c r="T79" i="214" s="1"/>
  <c r="F79" i="214"/>
  <c r="N78" i="214"/>
  <c r="N83" i="214" s="1"/>
  <c r="J78" i="214"/>
  <c r="T78" i="214" s="1"/>
  <c r="F78" i="214"/>
  <c r="N77" i="214"/>
  <c r="J77" i="214"/>
  <c r="J83" i="214" s="1"/>
  <c r="F77" i="214"/>
  <c r="S75" i="214"/>
  <c r="R75" i="214"/>
  <c r="Q75" i="214"/>
  <c r="P75" i="214"/>
  <c r="P76" i="214" s="1"/>
  <c r="P84" i="214" s="1"/>
  <c r="O75" i="214"/>
  <c r="M75" i="214"/>
  <c r="L75" i="214"/>
  <c r="L76" i="214" s="1"/>
  <c r="K75" i="214"/>
  <c r="K76" i="214" s="1"/>
  <c r="J75" i="214"/>
  <c r="I75" i="214"/>
  <c r="F75" i="214" s="1"/>
  <c r="H75" i="214"/>
  <c r="G75" i="214"/>
  <c r="N74" i="214"/>
  <c r="T74" i="214" s="1"/>
  <c r="J74" i="214"/>
  <c r="F74" i="214"/>
  <c r="N73" i="214"/>
  <c r="J73" i="214"/>
  <c r="T73" i="214" s="1"/>
  <c r="F73" i="214"/>
  <c r="T72" i="214"/>
  <c r="N72" i="214"/>
  <c r="J72" i="214"/>
  <c r="F72" i="214"/>
  <c r="N71" i="214"/>
  <c r="T71" i="214" s="1"/>
  <c r="J71" i="214"/>
  <c r="F71" i="214"/>
  <c r="N70" i="214"/>
  <c r="J70" i="214"/>
  <c r="T70" i="214" s="1"/>
  <c r="F70" i="214"/>
  <c r="T69" i="214"/>
  <c r="N69" i="214"/>
  <c r="J69" i="214"/>
  <c r="F69" i="214"/>
  <c r="N68" i="214"/>
  <c r="T68" i="214" s="1"/>
  <c r="J68" i="214"/>
  <c r="F68" i="214"/>
  <c r="S67" i="214"/>
  <c r="R67" i="214"/>
  <c r="Q67" i="214"/>
  <c r="Q76" i="214" s="1"/>
  <c r="P67" i="214"/>
  <c r="O67" i="214"/>
  <c r="M67" i="214"/>
  <c r="M76" i="214" s="1"/>
  <c r="L67" i="214"/>
  <c r="K67" i="214"/>
  <c r="I67" i="214"/>
  <c r="H67" i="214"/>
  <c r="G67" i="214"/>
  <c r="F67" i="214"/>
  <c r="F66" i="214"/>
  <c r="T65" i="214"/>
  <c r="N65" i="214"/>
  <c r="J65" i="214"/>
  <c r="F65" i="214"/>
  <c r="N64" i="214"/>
  <c r="T64" i="214" s="1"/>
  <c r="J64" i="214"/>
  <c r="F64" i="214"/>
  <c r="N63" i="214"/>
  <c r="J63" i="214"/>
  <c r="T63" i="214" s="1"/>
  <c r="F63" i="214"/>
  <c r="T62" i="214"/>
  <c r="N62" i="214"/>
  <c r="N67" i="214" s="1"/>
  <c r="J62" i="214"/>
  <c r="J67" i="214" s="1"/>
  <c r="F62" i="214"/>
  <c r="S61" i="214"/>
  <c r="R61" i="214"/>
  <c r="Q61" i="214"/>
  <c r="P61" i="214"/>
  <c r="O61" i="214"/>
  <c r="N61" i="214"/>
  <c r="M61" i="214"/>
  <c r="L61" i="214"/>
  <c r="K61" i="214"/>
  <c r="I61" i="214"/>
  <c r="H61" i="214"/>
  <c r="G61" i="214"/>
  <c r="F61" i="214" s="1"/>
  <c r="N60" i="214"/>
  <c r="J60" i="214"/>
  <c r="J61" i="214" s="1"/>
  <c r="F60" i="214"/>
  <c r="S59" i="214"/>
  <c r="S76" i="214" s="1"/>
  <c r="R59" i="214"/>
  <c r="Q59" i="214"/>
  <c r="P59" i="214"/>
  <c r="O59" i="214"/>
  <c r="M59" i="214"/>
  <c r="L59" i="214"/>
  <c r="K59" i="214"/>
  <c r="I59" i="214"/>
  <c r="H59" i="214"/>
  <c r="H76" i="214" s="1"/>
  <c r="H84" i="214" s="1"/>
  <c r="G59" i="214"/>
  <c r="F59" i="214" s="1"/>
  <c r="N58" i="214"/>
  <c r="N59" i="214" s="1"/>
  <c r="J58" i="214"/>
  <c r="T58" i="214" s="1"/>
  <c r="F58" i="214"/>
  <c r="N57" i="214"/>
  <c r="J57" i="214"/>
  <c r="T57" i="214" s="1"/>
  <c r="T59" i="214" s="1"/>
  <c r="F57" i="214"/>
  <c r="S56" i="214"/>
  <c r="R56" i="214"/>
  <c r="R76" i="214" s="1"/>
  <c r="R84" i="214" s="1"/>
  <c r="Q56" i="214"/>
  <c r="P56" i="214"/>
  <c r="O56" i="214"/>
  <c r="O76" i="214" s="1"/>
  <c r="M56" i="214"/>
  <c r="L56" i="214"/>
  <c r="K56" i="214"/>
  <c r="I56" i="214"/>
  <c r="H56" i="214"/>
  <c r="G56" i="214"/>
  <c r="F56" i="214"/>
  <c r="N55" i="214"/>
  <c r="J55" i="214"/>
  <c r="T55" i="214" s="1"/>
  <c r="F55" i="214"/>
  <c r="T54" i="214"/>
  <c r="N54" i="214"/>
  <c r="J54" i="214"/>
  <c r="F54" i="214"/>
  <c r="N53" i="214"/>
  <c r="J53" i="214"/>
  <c r="T53" i="214" s="1"/>
  <c r="F53" i="214"/>
  <c r="N52" i="214"/>
  <c r="J52" i="214"/>
  <c r="T52" i="214" s="1"/>
  <c r="F52" i="214"/>
  <c r="T51" i="214"/>
  <c r="N51" i="214"/>
  <c r="J51" i="214"/>
  <c r="F51" i="214"/>
  <c r="N50" i="214"/>
  <c r="J50" i="214"/>
  <c r="T50" i="214" s="1"/>
  <c r="F50" i="214"/>
  <c r="N49" i="214"/>
  <c r="J49" i="214"/>
  <c r="T49" i="214" s="1"/>
  <c r="F49" i="214"/>
  <c r="T48" i="214"/>
  <c r="N48" i="214"/>
  <c r="J48" i="214"/>
  <c r="F48" i="214"/>
  <c r="N47" i="214"/>
  <c r="N56" i="214" s="1"/>
  <c r="J47" i="214"/>
  <c r="T47" i="214" s="1"/>
  <c r="F47" i="214"/>
  <c r="N46" i="214"/>
  <c r="J46" i="214"/>
  <c r="T46" i="214" s="1"/>
  <c r="F46" i="214"/>
  <c r="O45" i="214"/>
  <c r="N45" i="214"/>
  <c r="M45" i="214"/>
  <c r="L45" i="214"/>
  <c r="J45" i="214"/>
  <c r="I45" i="214"/>
  <c r="H45" i="214"/>
  <c r="F45" i="214" s="1"/>
  <c r="G45" i="214"/>
  <c r="F44" i="214"/>
  <c r="F43" i="214"/>
  <c r="F42" i="214"/>
  <c r="T41" i="214"/>
  <c r="T45" i="214" s="1"/>
  <c r="S41" i="214"/>
  <c r="S45" i="214" s="1"/>
  <c r="R41" i="214"/>
  <c r="R45" i="214" s="1"/>
  <c r="Q41" i="214"/>
  <c r="Q45" i="214" s="1"/>
  <c r="P41" i="214"/>
  <c r="P45" i="214" s="1"/>
  <c r="O41" i="214"/>
  <c r="N41" i="214"/>
  <c r="M41" i="214"/>
  <c r="L41" i="214"/>
  <c r="K41" i="214"/>
  <c r="K45" i="214" s="1"/>
  <c r="J41" i="214"/>
  <c r="I41" i="214"/>
  <c r="H41" i="214"/>
  <c r="G41" i="214"/>
  <c r="F41" i="214" s="1"/>
  <c r="F40" i="214"/>
  <c r="F39" i="214"/>
  <c r="F38" i="214"/>
  <c r="S37" i="214"/>
  <c r="R37" i="214"/>
  <c r="Q37" i="214"/>
  <c r="P37" i="214"/>
  <c r="O37" i="214"/>
  <c r="N37" i="214"/>
  <c r="M37" i="214"/>
  <c r="L37" i="214"/>
  <c r="K37" i="214"/>
  <c r="J37" i="214"/>
  <c r="I37" i="214"/>
  <c r="H37" i="214"/>
  <c r="F37" i="214" s="1"/>
  <c r="G37" i="214"/>
  <c r="N35" i="214"/>
  <c r="J35" i="214"/>
  <c r="T35" i="214" s="1"/>
  <c r="F35" i="214"/>
  <c r="T34" i="214"/>
  <c r="N34" i="214"/>
  <c r="J34" i="214"/>
  <c r="F34" i="214"/>
  <c r="N33" i="214"/>
  <c r="T33" i="214" s="1"/>
  <c r="J33" i="214"/>
  <c r="F33" i="214"/>
  <c r="N32" i="214"/>
  <c r="J32" i="214"/>
  <c r="T32" i="214" s="1"/>
  <c r="T37" i="214" s="1"/>
  <c r="F32" i="214"/>
  <c r="S31" i="214"/>
  <c r="R31" i="214"/>
  <c r="Q31" i="214"/>
  <c r="P31" i="214"/>
  <c r="O31" i="214"/>
  <c r="M31" i="214"/>
  <c r="L31" i="214"/>
  <c r="K31" i="214"/>
  <c r="I31" i="214"/>
  <c r="H31" i="214"/>
  <c r="G31" i="214"/>
  <c r="F31" i="214" s="1"/>
  <c r="F30" i="214"/>
  <c r="F29" i="214"/>
  <c r="F28" i="214"/>
  <c r="F27" i="214"/>
  <c r="F26" i="214"/>
  <c r="F25" i="214"/>
  <c r="N24" i="214"/>
  <c r="J24" i="214"/>
  <c r="T24" i="214" s="1"/>
  <c r="F24" i="214"/>
  <c r="N23" i="214"/>
  <c r="J23" i="214"/>
  <c r="T23" i="214" s="1"/>
  <c r="F23" i="214"/>
  <c r="T22" i="214"/>
  <c r="N22" i="214"/>
  <c r="J22" i="214"/>
  <c r="F22" i="214"/>
  <c r="N21" i="214"/>
  <c r="J21" i="214"/>
  <c r="T21" i="214" s="1"/>
  <c r="F21" i="214"/>
  <c r="N20" i="214"/>
  <c r="N31" i="214" s="1"/>
  <c r="J20" i="214"/>
  <c r="T20" i="214" s="1"/>
  <c r="F20" i="214"/>
  <c r="T19" i="214"/>
  <c r="J19" i="214"/>
  <c r="F19" i="214"/>
  <c r="S18" i="214"/>
  <c r="R18" i="214"/>
  <c r="Q18" i="214"/>
  <c r="P18" i="214"/>
  <c r="O18" i="214"/>
  <c r="M18" i="214"/>
  <c r="L18" i="214"/>
  <c r="K18" i="214"/>
  <c r="I18" i="214"/>
  <c r="H18" i="214"/>
  <c r="G18" i="214"/>
  <c r="F18" i="214"/>
  <c r="N17" i="214"/>
  <c r="N18" i="214" s="1"/>
  <c r="J17" i="214"/>
  <c r="J18" i="214" s="1"/>
  <c r="F17" i="214"/>
  <c r="S16" i="214"/>
  <c r="R16" i="214"/>
  <c r="Q16" i="214"/>
  <c r="P16" i="214"/>
  <c r="O16" i="214"/>
  <c r="M16" i="214"/>
  <c r="L16" i="214"/>
  <c r="K16" i="214"/>
  <c r="J16" i="214"/>
  <c r="I16" i="214"/>
  <c r="H16" i="214"/>
  <c r="F16" i="214" s="1"/>
  <c r="G16" i="214"/>
  <c r="N15" i="214"/>
  <c r="N16" i="214" s="1"/>
  <c r="J15" i="214"/>
  <c r="T15" i="214" s="1"/>
  <c r="T16" i="214" s="1"/>
  <c r="F15" i="214"/>
  <c r="S14" i="214"/>
  <c r="R14" i="214"/>
  <c r="Q14" i="214"/>
  <c r="P14" i="214"/>
  <c r="O14" i="214"/>
  <c r="N14" i="214"/>
  <c r="M14" i="214"/>
  <c r="L14" i="214"/>
  <c r="K14" i="214"/>
  <c r="I14" i="214"/>
  <c r="H14" i="214"/>
  <c r="G14" i="214"/>
  <c r="F14" i="214"/>
  <c r="N13" i="214"/>
  <c r="J13" i="214"/>
  <c r="T13" i="214" s="1"/>
  <c r="T14" i="214" s="1"/>
  <c r="F13" i="214"/>
  <c r="T12" i="214"/>
  <c r="N12" i="214"/>
  <c r="J12" i="214"/>
  <c r="J14" i="214" s="1"/>
  <c r="F12" i="214"/>
  <c r="T75" i="214" l="1"/>
  <c r="G84" i="214"/>
  <c r="T67" i="214"/>
  <c r="T31" i="214"/>
  <c r="K84" i="214"/>
  <c r="L84" i="214"/>
  <c r="N84" i="214"/>
  <c r="M84" i="214"/>
  <c r="T56" i="214"/>
  <c r="S84" i="214"/>
  <c r="O84" i="214"/>
  <c r="J59" i="214"/>
  <c r="J76" i="214" s="1"/>
  <c r="J84" i="214" s="1"/>
  <c r="I76" i="214"/>
  <c r="I84" i="214" s="1"/>
  <c r="J56" i="214"/>
  <c r="T60" i="214"/>
  <c r="T61" i="214" s="1"/>
  <c r="N75" i="214"/>
  <c r="N76" i="214" s="1"/>
  <c r="T17" i="214"/>
  <c r="T18" i="214" s="1"/>
  <c r="G76" i="214"/>
  <c r="J31" i="214"/>
  <c r="T77" i="214"/>
  <c r="T83" i="214" s="1"/>
  <c r="F83" i="214"/>
  <c r="T84" i="213"/>
  <c r="Q84" i="213"/>
  <c r="P84" i="213"/>
  <c r="O84" i="213"/>
  <c r="N84" i="213"/>
  <c r="M84" i="213"/>
  <c r="L84" i="213"/>
  <c r="K84" i="213"/>
  <c r="J84" i="213"/>
  <c r="I84" i="213"/>
  <c r="H84" i="213"/>
  <c r="G84" i="213"/>
  <c r="F78" i="213"/>
  <c r="F79" i="213"/>
  <c r="F80" i="213"/>
  <c r="F81" i="213"/>
  <c r="F82" i="213"/>
  <c r="F67" i="213"/>
  <c r="F46" i="213"/>
  <c r="J46" i="213"/>
  <c r="T46" i="213" s="1"/>
  <c r="N46" i="213"/>
  <c r="F47" i="213"/>
  <c r="J47" i="213"/>
  <c r="N47" i="213"/>
  <c r="F48" i="213"/>
  <c r="J48" i="213"/>
  <c r="N48" i="213"/>
  <c r="F49" i="213"/>
  <c r="J49" i="213"/>
  <c r="T49" i="213" s="1"/>
  <c r="N49" i="213"/>
  <c r="F50" i="213"/>
  <c r="J50" i="213"/>
  <c r="T50" i="213" s="1"/>
  <c r="N50" i="213"/>
  <c r="F51" i="213"/>
  <c r="J51" i="213"/>
  <c r="T51" i="213" s="1"/>
  <c r="N51" i="213"/>
  <c r="F52" i="213"/>
  <c r="J52" i="213"/>
  <c r="N52" i="213"/>
  <c r="T52" i="213"/>
  <c r="F53" i="213"/>
  <c r="J53" i="213"/>
  <c r="N53" i="213"/>
  <c r="F54" i="213"/>
  <c r="J54" i="213"/>
  <c r="N54" i="213"/>
  <c r="F55" i="213"/>
  <c r="J55" i="213"/>
  <c r="N55" i="213"/>
  <c r="T55" i="213"/>
  <c r="G56" i="213"/>
  <c r="H56" i="213"/>
  <c r="I56" i="213"/>
  <c r="K56" i="213"/>
  <c r="L56" i="213"/>
  <c r="M56" i="213"/>
  <c r="O56" i="213"/>
  <c r="P56" i="213"/>
  <c r="Q56" i="213"/>
  <c r="R56" i="213"/>
  <c r="S56" i="213"/>
  <c r="F57" i="213"/>
  <c r="J57" i="213"/>
  <c r="J59" i="213" s="1"/>
  <c r="N57" i="213"/>
  <c r="N59" i="213" s="1"/>
  <c r="F58" i="213"/>
  <c r="J58" i="213"/>
  <c r="T58" i="213" s="1"/>
  <c r="N58" i="213"/>
  <c r="G59" i="213"/>
  <c r="F59" i="213" s="1"/>
  <c r="H59" i="213"/>
  <c r="I59" i="213"/>
  <c r="K59" i="213"/>
  <c r="L59" i="213"/>
  <c r="M59" i="213"/>
  <c r="O59" i="213"/>
  <c r="P59" i="213"/>
  <c r="Q59" i="213"/>
  <c r="R59" i="213"/>
  <c r="S59" i="213"/>
  <c r="F60" i="213"/>
  <c r="J60" i="213"/>
  <c r="N60" i="213"/>
  <c r="N61" i="213" s="1"/>
  <c r="T60" i="213"/>
  <c r="T61" i="213" s="1"/>
  <c r="G61" i="213"/>
  <c r="F61" i="213" s="1"/>
  <c r="H61" i="213"/>
  <c r="I61" i="213"/>
  <c r="J61" i="213"/>
  <c r="K61" i="213"/>
  <c r="L61" i="213"/>
  <c r="M61" i="213"/>
  <c r="O61" i="213"/>
  <c r="P61" i="213"/>
  <c r="Q61" i="213"/>
  <c r="R61" i="213"/>
  <c r="S61" i="213"/>
  <c r="F62" i="213"/>
  <c r="J62" i="213"/>
  <c r="T62" i="213" s="1"/>
  <c r="N62" i="213"/>
  <c r="F63" i="213"/>
  <c r="J63" i="213"/>
  <c r="N63" i="213"/>
  <c r="T63" i="213"/>
  <c r="F64" i="213"/>
  <c r="J64" i="213"/>
  <c r="N64" i="213"/>
  <c r="F65" i="213"/>
  <c r="J65" i="213"/>
  <c r="N65" i="213"/>
  <c r="F66" i="213"/>
  <c r="G67" i="213"/>
  <c r="H67" i="213"/>
  <c r="I67" i="213"/>
  <c r="K67" i="213"/>
  <c r="L67" i="213"/>
  <c r="M67" i="213"/>
  <c r="O67" i="213"/>
  <c r="P67" i="213"/>
  <c r="Q67" i="213"/>
  <c r="R67" i="213"/>
  <c r="S67" i="213"/>
  <c r="F68" i="213"/>
  <c r="J68" i="213"/>
  <c r="T68" i="213" s="1"/>
  <c r="N68" i="213"/>
  <c r="F69" i="213"/>
  <c r="J69" i="213"/>
  <c r="N69" i="213"/>
  <c r="F70" i="213"/>
  <c r="J70" i="213"/>
  <c r="N70" i="213"/>
  <c r="T70" i="213"/>
  <c r="F71" i="213"/>
  <c r="J71" i="213"/>
  <c r="T71" i="213" s="1"/>
  <c r="N71" i="213"/>
  <c r="F72" i="213"/>
  <c r="J72" i="213"/>
  <c r="T72" i="213" s="1"/>
  <c r="N72" i="213"/>
  <c r="F73" i="213"/>
  <c r="J73" i="213"/>
  <c r="N73" i="213"/>
  <c r="T73" i="213"/>
  <c r="F74" i="213"/>
  <c r="J74" i="213"/>
  <c r="N74" i="213"/>
  <c r="G75" i="213"/>
  <c r="H75" i="213"/>
  <c r="I75" i="213"/>
  <c r="K75" i="213"/>
  <c r="L75" i="213"/>
  <c r="M75" i="213"/>
  <c r="O75" i="213"/>
  <c r="P75" i="213"/>
  <c r="Q75" i="213"/>
  <c r="R75" i="213"/>
  <c r="S75" i="213"/>
  <c r="G83" i="213"/>
  <c r="H45" i="213"/>
  <c r="I45" i="213"/>
  <c r="F44" i="213"/>
  <c r="G45" i="213"/>
  <c r="F43" i="213"/>
  <c r="G31" i="213"/>
  <c r="G37" i="213"/>
  <c r="F21" i="213"/>
  <c r="F22" i="213"/>
  <c r="F23" i="213"/>
  <c r="F24" i="213"/>
  <c r="F25" i="213"/>
  <c r="F26" i="213"/>
  <c r="F27" i="213"/>
  <c r="F28" i="213"/>
  <c r="F29" i="213"/>
  <c r="F30" i="213"/>
  <c r="F76" i="214" l="1"/>
  <c r="F84" i="214"/>
  <c r="T76" i="214"/>
  <c r="T84" i="214" s="1"/>
  <c r="F75" i="213"/>
  <c r="T57" i="213"/>
  <c r="T59" i="213" s="1"/>
  <c r="T48" i="213"/>
  <c r="T64" i="213"/>
  <c r="T67" i="213" s="1"/>
  <c r="F56" i="213"/>
  <c r="T74" i="213"/>
  <c r="T69" i="213"/>
  <c r="T75" i="213" s="1"/>
  <c r="T47" i="213"/>
  <c r="T56" i="213" s="1"/>
  <c r="J67" i="213"/>
  <c r="T54" i="213"/>
  <c r="T65" i="213"/>
  <c r="J75" i="213"/>
  <c r="N75" i="213"/>
  <c r="N56" i="213"/>
  <c r="N67" i="213"/>
  <c r="T53" i="213"/>
  <c r="J56" i="213"/>
  <c r="G16" i="213"/>
  <c r="F15" i="213"/>
  <c r="F17" i="213"/>
  <c r="F19" i="213"/>
  <c r="F20" i="213"/>
  <c r="F32" i="213"/>
  <c r="F33" i="213"/>
  <c r="F34" i="213"/>
  <c r="F35" i="213"/>
  <c r="F38" i="213"/>
  <c r="F39" i="213"/>
  <c r="F40" i="213"/>
  <c r="F42" i="213"/>
  <c r="F77" i="213"/>
  <c r="F13" i="213"/>
  <c r="F12" i="213"/>
  <c r="G18" i="213"/>
  <c r="G14" i="213"/>
  <c r="H14" i="213"/>
  <c r="I14" i="213"/>
  <c r="K14" i="213"/>
  <c r="L14" i="213"/>
  <c r="M14" i="213"/>
  <c r="O14" i="213"/>
  <c r="P14" i="213"/>
  <c r="Q14" i="213"/>
  <c r="R14" i="213"/>
  <c r="S14" i="213"/>
  <c r="N13" i="213"/>
  <c r="J13" i="213"/>
  <c r="S83" i="213"/>
  <c r="R83" i="213"/>
  <c r="Q83" i="213"/>
  <c r="P83" i="213"/>
  <c r="M83" i="213"/>
  <c r="L83" i="213"/>
  <c r="I83" i="213"/>
  <c r="H83" i="213"/>
  <c r="N79" i="213"/>
  <c r="J79" i="213"/>
  <c r="N78" i="213"/>
  <c r="J78" i="213"/>
  <c r="S41" i="213"/>
  <c r="S45" i="213" s="1"/>
  <c r="R41" i="213"/>
  <c r="R45" i="213" s="1"/>
  <c r="Q41" i="213"/>
  <c r="Q45" i="213" s="1"/>
  <c r="P41" i="213"/>
  <c r="P45" i="213" s="1"/>
  <c r="M41" i="213"/>
  <c r="M45" i="213" s="1"/>
  <c r="I41" i="213"/>
  <c r="H41" i="213"/>
  <c r="F45" i="213" s="1"/>
  <c r="L41" i="213"/>
  <c r="L45" i="213" s="1"/>
  <c r="S37" i="213"/>
  <c r="R37" i="213"/>
  <c r="Q37" i="213"/>
  <c r="P37" i="213"/>
  <c r="M37" i="213"/>
  <c r="L37" i="213"/>
  <c r="I37" i="213"/>
  <c r="H37" i="213"/>
  <c r="N35" i="213"/>
  <c r="J35" i="213"/>
  <c r="N34" i="213"/>
  <c r="J34" i="213"/>
  <c r="N33" i="213"/>
  <c r="J33" i="213"/>
  <c r="N32" i="213"/>
  <c r="J32" i="213"/>
  <c r="S31" i="213"/>
  <c r="R31" i="213"/>
  <c r="Q31" i="213"/>
  <c r="P31" i="213"/>
  <c r="M31" i="213"/>
  <c r="L31" i="213"/>
  <c r="I31" i="213"/>
  <c r="H31" i="213"/>
  <c r="F31" i="213" s="1"/>
  <c r="N24" i="213"/>
  <c r="J24" i="213"/>
  <c r="N23" i="213"/>
  <c r="J23" i="213"/>
  <c r="N22" i="213"/>
  <c r="J22" i="213"/>
  <c r="N21" i="213"/>
  <c r="J21" i="213"/>
  <c r="N20" i="213"/>
  <c r="J20" i="213"/>
  <c r="S18" i="213"/>
  <c r="R18" i="213"/>
  <c r="Q18" i="213"/>
  <c r="P18" i="213"/>
  <c r="O18" i="213"/>
  <c r="M18" i="213"/>
  <c r="L18" i="213"/>
  <c r="K18" i="213"/>
  <c r="I18" i="213"/>
  <c r="H18" i="213"/>
  <c r="N17" i="213"/>
  <c r="N18" i="213" s="1"/>
  <c r="J17" i="213"/>
  <c r="J18" i="213" s="1"/>
  <c r="S16" i="213"/>
  <c r="R16" i="213"/>
  <c r="Q16" i="213"/>
  <c r="P16" i="213"/>
  <c r="O16" i="213"/>
  <c r="M16" i="213"/>
  <c r="L16" i="213"/>
  <c r="K16" i="213"/>
  <c r="I16" i="213"/>
  <c r="H16" i="213"/>
  <c r="N15" i="213"/>
  <c r="N16" i="213" s="1"/>
  <c r="J15" i="213"/>
  <c r="J16" i="213" s="1"/>
  <c r="N12" i="213"/>
  <c r="J12" i="213"/>
  <c r="F16" i="213" l="1"/>
  <c r="F14" i="213"/>
  <c r="F18" i="213"/>
  <c r="F37" i="213"/>
  <c r="N14" i="213"/>
  <c r="K83" i="213"/>
  <c r="N37" i="213"/>
  <c r="T13" i="213"/>
  <c r="T22" i="213"/>
  <c r="K37" i="213"/>
  <c r="T15" i="213"/>
  <c r="T16" i="213" s="1"/>
  <c r="J19" i="213"/>
  <c r="J14" i="213"/>
  <c r="K41" i="213"/>
  <c r="K45" i="213" s="1"/>
  <c r="H76" i="213"/>
  <c r="S76" i="213"/>
  <c r="S84" i="213" s="1"/>
  <c r="T24" i="213"/>
  <c r="T21" i="213"/>
  <c r="T33" i="213"/>
  <c r="O41" i="213"/>
  <c r="O45" i="213" s="1"/>
  <c r="F83" i="213"/>
  <c r="T34" i="213"/>
  <c r="O83" i="213"/>
  <c r="T17" i="213"/>
  <c r="T18" i="213" s="1"/>
  <c r="T32" i="213"/>
  <c r="O37" i="213"/>
  <c r="G41" i="213"/>
  <c r="F41" i="213" s="1"/>
  <c r="T35" i="213"/>
  <c r="R76" i="213"/>
  <c r="R84" i="213" s="1"/>
  <c r="T79" i="213"/>
  <c r="J31" i="213"/>
  <c r="T23" i="213"/>
  <c r="T78" i="213"/>
  <c r="K31" i="213"/>
  <c r="J77" i="213"/>
  <c r="O31" i="213"/>
  <c r="J37" i="213"/>
  <c r="L76" i="213"/>
  <c r="N77" i="213"/>
  <c r="N83" i="213" s="1"/>
  <c r="N31" i="213"/>
  <c r="T12" i="213"/>
  <c r="P76" i="213"/>
  <c r="T20" i="213"/>
  <c r="N41" i="213"/>
  <c r="N45" i="213" s="1"/>
  <c r="G76" i="213" l="1"/>
  <c r="O76" i="213"/>
  <c r="T14" i="213"/>
  <c r="T37" i="213"/>
  <c r="N76" i="213"/>
  <c r="I76" i="213"/>
  <c r="M76" i="213"/>
  <c r="Q76" i="213"/>
  <c r="K76" i="213"/>
  <c r="T19" i="213"/>
  <c r="T31" i="213"/>
  <c r="T41" i="213"/>
  <c r="T45" i="213" s="1"/>
  <c r="J41" i="213"/>
  <c r="J45" i="213" s="1"/>
  <c r="T77" i="213"/>
  <c r="T83" i="213" s="1"/>
  <c r="J83" i="213"/>
  <c r="S103" i="211"/>
  <c r="R103" i="211"/>
  <c r="Q103" i="211"/>
  <c r="P103" i="211"/>
  <c r="M103" i="211"/>
  <c r="L103" i="211"/>
  <c r="K103" i="211"/>
  <c r="I103" i="211"/>
  <c r="H103" i="211"/>
  <c r="O102" i="211"/>
  <c r="N102" i="211" s="1"/>
  <c r="K102" i="211"/>
  <c r="J102" i="211"/>
  <c r="F102" i="211"/>
  <c r="O101" i="211"/>
  <c r="N101" i="211" s="1"/>
  <c r="T101" i="211" s="1"/>
  <c r="K101" i="211"/>
  <c r="J101" i="211"/>
  <c r="G101" i="211"/>
  <c r="F101" i="211" s="1"/>
  <c r="O100" i="211"/>
  <c r="O103" i="211" s="1"/>
  <c r="N100" i="211"/>
  <c r="K100" i="211"/>
  <c r="J100" i="211" s="1"/>
  <c r="G100" i="211"/>
  <c r="G103" i="211" s="1"/>
  <c r="F100" i="211"/>
  <c r="F103" i="211" s="1"/>
  <c r="S98" i="211"/>
  <c r="S99" i="211" s="1"/>
  <c r="R98" i="211"/>
  <c r="R99" i="211" s="1"/>
  <c r="P98" i="211"/>
  <c r="L98" i="211"/>
  <c r="H98" i="211"/>
  <c r="H99" i="211" s="1"/>
  <c r="Q97" i="211"/>
  <c r="O97" i="211"/>
  <c r="N97" i="211" s="1"/>
  <c r="M97" i="211"/>
  <c r="K97" i="211"/>
  <c r="J97" i="211" s="1"/>
  <c r="T97" i="211" s="1"/>
  <c r="F97" i="211"/>
  <c r="Q96" i="211"/>
  <c r="N96" i="211" s="1"/>
  <c r="O96" i="211"/>
  <c r="M96" i="211"/>
  <c r="K96" i="211"/>
  <c r="J96" i="211"/>
  <c r="F96" i="211"/>
  <c r="Q95" i="211"/>
  <c r="N95" i="211" s="1"/>
  <c r="T95" i="211" s="1"/>
  <c r="M95" i="211"/>
  <c r="J95" i="211"/>
  <c r="I95" i="211"/>
  <c r="I98" i="211" s="1"/>
  <c r="Q94" i="211"/>
  <c r="O94" i="211"/>
  <c r="N94" i="211"/>
  <c r="M94" i="211"/>
  <c r="K94" i="211"/>
  <c r="J94" i="211"/>
  <c r="T94" i="211" s="1"/>
  <c r="G94" i="211"/>
  <c r="F94" i="211"/>
  <c r="Q93" i="211"/>
  <c r="N93" i="211" s="1"/>
  <c r="M93" i="211"/>
  <c r="M98" i="211" s="1"/>
  <c r="F93" i="211"/>
  <c r="Q92" i="211"/>
  <c r="Q98" i="211" s="1"/>
  <c r="O92" i="211"/>
  <c r="N92" i="211"/>
  <c r="T92" i="211" s="1"/>
  <c r="M92" i="211"/>
  <c r="K92" i="211"/>
  <c r="J92" i="211"/>
  <c r="F92" i="211"/>
  <c r="O91" i="211"/>
  <c r="N91" i="211" s="1"/>
  <c r="K91" i="211"/>
  <c r="K98" i="211" s="1"/>
  <c r="K99" i="211" s="1"/>
  <c r="J91" i="211"/>
  <c r="G91" i="211"/>
  <c r="G98" i="211" s="1"/>
  <c r="G99" i="211" s="1"/>
  <c r="F91" i="211"/>
  <c r="S90" i="211"/>
  <c r="R90" i="211"/>
  <c r="P90" i="211"/>
  <c r="O90" i="211"/>
  <c r="L90" i="211"/>
  <c r="K90" i="211"/>
  <c r="I90" i="211"/>
  <c r="H90" i="211"/>
  <c r="G90" i="211"/>
  <c r="Q89" i="211"/>
  <c r="N89" i="211" s="1"/>
  <c r="M89" i="211"/>
  <c r="J89" i="211" s="1"/>
  <c r="T89" i="211" s="1"/>
  <c r="F89" i="211"/>
  <c r="Q88" i="211"/>
  <c r="N88" i="211"/>
  <c r="M88" i="211"/>
  <c r="J88" i="211" s="1"/>
  <c r="T88" i="211" s="1"/>
  <c r="I88" i="211"/>
  <c r="F88" i="211"/>
  <c r="Q87" i="211"/>
  <c r="N87" i="211"/>
  <c r="T87" i="211" s="1"/>
  <c r="M87" i="211"/>
  <c r="J87" i="211"/>
  <c r="I87" i="211"/>
  <c r="F87" i="211" s="1"/>
  <c r="Q86" i="211"/>
  <c r="N86" i="211" s="1"/>
  <c r="M86" i="211"/>
  <c r="M90" i="211" s="1"/>
  <c r="J86" i="211"/>
  <c r="F86" i="211"/>
  <c r="F90" i="211" s="1"/>
  <c r="S85" i="211"/>
  <c r="R85" i="211"/>
  <c r="Q85" i="211"/>
  <c r="P85" i="211"/>
  <c r="O85" i="211"/>
  <c r="N85" i="211"/>
  <c r="M85" i="211"/>
  <c r="L85" i="211"/>
  <c r="K85" i="211"/>
  <c r="I85" i="211"/>
  <c r="H85" i="211"/>
  <c r="G85" i="211"/>
  <c r="N84" i="211"/>
  <c r="J84" i="211"/>
  <c r="J85" i="211" s="1"/>
  <c r="F84" i="211"/>
  <c r="F85" i="211" s="1"/>
  <c r="S83" i="211"/>
  <c r="R83" i="211"/>
  <c r="Q83" i="211"/>
  <c r="O83" i="211"/>
  <c r="M83" i="211"/>
  <c r="K83" i="211"/>
  <c r="I83" i="211"/>
  <c r="H83" i="211"/>
  <c r="G83" i="211"/>
  <c r="P82" i="211"/>
  <c r="P83" i="211" s="1"/>
  <c r="L82" i="211"/>
  <c r="J82" i="211" s="1"/>
  <c r="F82" i="211"/>
  <c r="P81" i="211"/>
  <c r="N81" i="211"/>
  <c r="L81" i="211"/>
  <c r="J81" i="211" s="1"/>
  <c r="H81" i="211"/>
  <c r="F81" i="211"/>
  <c r="F83" i="211" s="1"/>
  <c r="S80" i="211"/>
  <c r="R80" i="211"/>
  <c r="P80" i="211"/>
  <c r="L80" i="211"/>
  <c r="H80" i="211"/>
  <c r="G80" i="211"/>
  <c r="N79" i="211"/>
  <c r="J79" i="211"/>
  <c r="T79" i="211" s="1"/>
  <c r="F79" i="211"/>
  <c r="N78" i="211"/>
  <c r="T78" i="211" s="1"/>
  <c r="J78" i="211"/>
  <c r="F78" i="211"/>
  <c r="Q77" i="211"/>
  <c r="N77" i="211" s="1"/>
  <c r="M77" i="211"/>
  <c r="M80" i="211" s="1"/>
  <c r="I77" i="211"/>
  <c r="F77" i="211"/>
  <c r="Q76" i="211"/>
  <c r="N76" i="211"/>
  <c r="T76" i="211" s="1"/>
  <c r="M76" i="211"/>
  <c r="J76" i="211"/>
  <c r="F76" i="211"/>
  <c r="Q75" i="211"/>
  <c r="N75" i="211"/>
  <c r="T75" i="211" s="1"/>
  <c r="M75" i="211"/>
  <c r="J75" i="211"/>
  <c r="I75" i="211"/>
  <c r="F75" i="211" s="1"/>
  <c r="F80" i="211" s="1"/>
  <c r="O74" i="211"/>
  <c r="N74" i="211" s="1"/>
  <c r="T74" i="211" s="1"/>
  <c r="K74" i="211"/>
  <c r="J74" i="211"/>
  <c r="F74" i="211"/>
  <c r="N73" i="211"/>
  <c r="J73" i="211"/>
  <c r="T73" i="211" s="1"/>
  <c r="F73" i="211"/>
  <c r="Q72" i="211"/>
  <c r="O72" i="211"/>
  <c r="O80" i="211" s="1"/>
  <c r="N72" i="211"/>
  <c r="T72" i="211" s="1"/>
  <c r="M72" i="211"/>
  <c r="K72" i="211"/>
  <c r="K80" i="211" s="1"/>
  <c r="J72" i="211"/>
  <c r="F72" i="211"/>
  <c r="Q71" i="211"/>
  <c r="N71" i="211" s="1"/>
  <c r="M71" i="211"/>
  <c r="J71" i="211"/>
  <c r="T71" i="211" s="1"/>
  <c r="F71" i="211"/>
  <c r="Q70" i="211"/>
  <c r="N70" i="211" s="1"/>
  <c r="T70" i="211" s="1"/>
  <c r="M70" i="211"/>
  <c r="J70" i="211"/>
  <c r="F70" i="211"/>
  <c r="Q69" i="211"/>
  <c r="N69" i="211" s="1"/>
  <c r="M69" i="211"/>
  <c r="J69" i="211"/>
  <c r="I69" i="211"/>
  <c r="I80" i="211" s="1"/>
  <c r="F69" i="211"/>
  <c r="Q68" i="211"/>
  <c r="Q80" i="211" s="1"/>
  <c r="N68" i="211"/>
  <c r="N80" i="211" s="1"/>
  <c r="M68" i="211"/>
  <c r="J68" i="211"/>
  <c r="F68" i="211"/>
  <c r="S67" i="211"/>
  <c r="R67" i="211"/>
  <c r="Q67" i="211"/>
  <c r="P67" i="211"/>
  <c r="M67" i="211"/>
  <c r="I67" i="211"/>
  <c r="H67" i="211"/>
  <c r="O66" i="211"/>
  <c r="N66" i="211"/>
  <c r="K66" i="211"/>
  <c r="J66" i="211" s="1"/>
  <c r="T66" i="211" s="1"/>
  <c r="F66" i="211"/>
  <c r="O65" i="211"/>
  <c r="N65" i="211" s="1"/>
  <c r="K65" i="211"/>
  <c r="J65" i="211" s="1"/>
  <c r="T65" i="211" s="1"/>
  <c r="F65" i="211"/>
  <c r="O64" i="211"/>
  <c r="N64" i="211"/>
  <c r="K64" i="211"/>
  <c r="J64" i="211" s="1"/>
  <c r="T64" i="211" s="1"/>
  <c r="F64" i="211"/>
  <c r="N63" i="211"/>
  <c r="T63" i="211" s="1"/>
  <c r="J63" i="211"/>
  <c r="F63" i="211"/>
  <c r="N62" i="211"/>
  <c r="J62" i="211"/>
  <c r="T62" i="211" s="1"/>
  <c r="F62" i="211"/>
  <c r="O61" i="211"/>
  <c r="O67" i="211" s="1"/>
  <c r="L61" i="211"/>
  <c r="L67" i="211" s="1"/>
  <c r="K61" i="211"/>
  <c r="K67" i="211" s="1"/>
  <c r="J61" i="211"/>
  <c r="G61" i="211"/>
  <c r="G67" i="211" s="1"/>
  <c r="F61" i="211"/>
  <c r="F67" i="211" s="1"/>
  <c r="I60" i="211"/>
  <c r="S59" i="211"/>
  <c r="R59" i="211"/>
  <c r="Q59" i="211"/>
  <c r="P59" i="211"/>
  <c r="M59" i="211"/>
  <c r="L59" i="211"/>
  <c r="I59" i="211"/>
  <c r="H59" i="211"/>
  <c r="G59" i="211"/>
  <c r="N58" i="211"/>
  <c r="J58" i="211"/>
  <c r="T58" i="211" s="1"/>
  <c r="F58" i="211"/>
  <c r="F59" i="211" s="1"/>
  <c r="O57" i="211"/>
  <c r="N57" i="211" s="1"/>
  <c r="K57" i="211"/>
  <c r="J57" i="211"/>
  <c r="T57" i="211" s="1"/>
  <c r="F57" i="211"/>
  <c r="N56" i="211"/>
  <c r="T56" i="211" s="1"/>
  <c r="J56" i="211"/>
  <c r="F56" i="211"/>
  <c r="O55" i="211"/>
  <c r="O59" i="211" s="1"/>
  <c r="K55" i="211"/>
  <c r="K59" i="211" s="1"/>
  <c r="F55" i="211"/>
  <c r="S54" i="211"/>
  <c r="R54" i="211"/>
  <c r="Q54" i="211"/>
  <c r="P54" i="211"/>
  <c r="M54" i="211"/>
  <c r="L54" i="211"/>
  <c r="K54" i="211"/>
  <c r="I54" i="211"/>
  <c r="H54" i="211"/>
  <c r="T53" i="211"/>
  <c r="N53" i="211"/>
  <c r="J53" i="211"/>
  <c r="F53" i="211"/>
  <c r="N52" i="211"/>
  <c r="K52" i="211"/>
  <c r="J52" i="211" s="1"/>
  <c r="T52" i="211" s="1"/>
  <c r="G52" i="211"/>
  <c r="G54" i="211" s="1"/>
  <c r="F52" i="211"/>
  <c r="F54" i="211" s="1"/>
  <c r="Q51" i="211"/>
  <c r="O51" i="211"/>
  <c r="N51" i="211" s="1"/>
  <c r="N54" i="211" s="1"/>
  <c r="M51" i="211"/>
  <c r="K51" i="211"/>
  <c r="J51" i="211"/>
  <c r="F51" i="211"/>
  <c r="S50" i="211"/>
  <c r="R50" i="211"/>
  <c r="Q50" i="211"/>
  <c r="P50" i="211"/>
  <c r="O50" i="211"/>
  <c r="N50" i="211"/>
  <c r="M50" i="211"/>
  <c r="L50" i="211"/>
  <c r="I50" i="211"/>
  <c r="H50" i="211"/>
  <c r="G50" i="211"/>
  <c r="F50" i="211"/>
  <c r="O49" i="211"/>
  <c r="N49" i="211"/>
  <c r="K49" i="211"/>
  <c r="J49" i="211" s="1"/>
  <c r="F49" i="211"/>
  <c r="S48" i="211"/>
  <c r="R48" i="211"/>
  <c r="Q48" i="211"/>
  <c r="P48" i="211"/>
  <c r="M48" i="211"/>
  <c r="L48" i="211"/>
  <c r="I48" i="211"/>
  <c r="H48" i="211"/>
  <c r="G48" i="211"/>
  <c r="O47" i="211"/>
  <c r="N47" i="211"/>
  <c r="K47" i="211"/>
  <c r="J47" i="211" s="1"/>
  <c r="T47" i="211" s="1"/>
  <c r="F47" i="211"/>
  <c r="O46" i="211"/>
  <c r="N46" i="211"/>
  <c r="K46" i="211"/>
  <c r="J46" i="211"/>
  <c r="T46" i="211" s="1"/>
  <c r="F46" i="211"/>
  <c r="O45" i="211"/>
  <c r="N45" i="211"/>
  <c r="K45" i="211"/>
  <c r="J45" i="211" s="1"/>
  <c r="T45" i="211" s="1"/>
  <c r="F45" i="211"/>
  <c r="O44" i="211"/>
  <c r="N44" i="211"/>
  <c r="K44" i="211"/>
  <c r="J44" i="211"/>
  <c r="T44" i="211" s="1"/>
  <c r="F44" i="211"/>
  <c r="O43" i="211"/>
  <c r="N43" i="211"/>
  <c r="K43" i="211"/>
  <c r="J43" i="211" s="1"/>
  <c r="T43" i="211" s="1"/>
  <c r="G43" i="211"/>
  <c r="F43" i="211"/>
  <c r="O42" i="211"/>
  <c r="N42" i="211"/>
  <c r="K42" i="211"/>
  <c r="J42" i="211" s="1"/>
  <c r="T42" i="211" s="1"/>
  <c r="F42" i="211"/>
  <c r="O41" i="211"/>
  <c r="N41" i="211"/>
  <c r="K41" i="211"/>
  <c r="J41" i="211"/>
  <c r="T41" i="211" s="1"/>
  <c r="G41" i="211"/>
  <c r="F41" i="211" s="1"/>
  <c r="O40" i="211"/>
  <c r="N40" i="211"/>
  <c r="K40" i="211"/>
  <c r="J40" i="211"/>
  <c r="T40" i="211" s="1"/>
  <c r="F40" i="211"/>
  <c r="N39" i="211"/>
  <c r="K39" i="211"/>
  <c r="J39" i="211"/>
  <c r="T39" i="211" s="1"/>
  <c r="F39" i="211"/>
  <c r="N38" i="211"/>
  <c r="J38" i="211"/>
  <c r="T38" i="211" s="1"/>
  <c r="F38" i="211"/>
  <c r="N37" i="211"/>
  <c r="T37" i="211" s="1"/>
  <c r="J37" i="211"/>
  <c r="F37" i="211"/>
  <c r="N36" i="211"/>
  <c r="J36" i="211"/>
  <c r="T36" i="211" s="1"/>
  <c r="F36" i="211"/>
  <c r="N35" i="211"/>
  <c r="J35" i="211"/>
  <c r="T35" i="211" s="1"/>
  <c r="F35" i="211"/>
  <c r="O34" i="211"/>
  <c r="N34" i="211" s="1"/>
  <c r="K34" i="211"/>
  <c r="J34" i="211"/>
  <c r="T34" i="211" s="1"/>
  <c r="F34" i="211"/>
  <c r="O33" i="211"/>
  <c r="N33" i="211" s="1"/>
  <c r="T33" i="211" s="1"/>
  <c r="K33" i="211"/>
  <c r="J33" i="211"/>
  <c r="F33" i="211"/>
  <c r="O32" i="211"/>
  <c r="N32" i="211" s="1"/>
  <c r="K32" i="211"/>
  <c r="J32" i="211"/>
  <c r="T32" i="211" s="1"/>
  <c r="F32" i="211"/>
  <c r="N31" i="211"/>
  <c r="T31" i="211" s="1"/>
  <c r="J31" i="211"/>
  <c r="F31" i="211"/>
  <c r="O30" i="211"/>
  <c r="N30" i="211" s="1"/>
  <c r="K30" i="211"/>
  <c r="J30" i="211" s="1"/>
  <c r="F30" i="211"/>
  <c r="S29" i="211"/>
  <c r="S60" i="211" s="1"/>
  <c r="R29" i="211"/>
  <c r="R60" i="211" s="1"/>
  <c r="Q29" i="211"/>
  <c r="Q60" i="211" s="1"/>
  <c r="P29" i="211"/>
  <c r="P60" i="211" s="1"/>
  <c r="O29" i="211"/>
  <c r="M29" i="211"/>
  <c r="M60" i="211" s="1"/>
  <c r="L29" i="211"/>
  <c r="L60" i="211" s="1"/>
  <c r="K29" i="211"/>
  <c r="I29" i="211"/>
  <c r="H29" i="211"/>
  <c r="H60" i="211" s="1"/>
  <c r="G29" i="211"/>
  <c r="F29" i="211"/>
  <c r="O28" i="211"/>
  <c r="N28" i="211"/>
  <c r="K28" i="211"/>
  <c r="J28" i="211"/>
  <c r="T28" i="211" s="1"/>
  <c r="F28" i="211"/>
  <c r="T27" i="211"/>
  <c r="N27" i="211"/>
  <c r="J27" i="211"/>
  <c r="F27" i="211"/>
  <c r="N26" i="211"/>
  <c r="N29" i="211" s="1"/>
  <c r="J26" i="211"/>
  <c r="J29" i="211" s="1"/>
  <c r="F26" i="211"/>
  <c r="S25" i="211"/>
  <c r="R25" i="211"/>
  <c r="Q25" i="211"/>
  <c r="M25" i="211"/>
  <c r="K25" i="211"/>
  <c r="J25" i="211"/>
  <c r="I25" i="211"/>
  <c r="H25" i="211"/>
  <c r="P24" i="211"/>
  <c r="P25" i="211" s="1"/>
  <c r="O24" i="211"/>
  <c r="O25" i="211" s="1"/>
  <c r="L24" i="211"/>
  <c r="L25" i="211" s="1"/>
  <c r="K24" i="211"/>
  <c r="J24" i="211"/>
  <c r="G24" i="211"/>
  <c r="F24" i="211" s="1"/>
  <c r="F25" i="211" s="1"/>
  <c r="S23" i="211"/>
  <c r="R23" i="211"/>
  <c r="Q23" i="211"/>
  <c r="O23" i="211"/>
  <c r="M23" i="211"/>
  <c r="K23" i="211"/>
  <c r="J23" i="211"/>
  <c r="I23" i="211"/>
  <c r="H23" i="211"/>
  <c r="G23" i="211"/>
  <c r="F23" i="211"/>
  <c r="P22" i="211"/>
  <c r="N22" i="211" s="1"/>
  <c r="N23" i="211" s="1"/>
  <c r="L22" i="211"/>
  <c r="L23" i="211" s="1"/>
  <c r="J22" i="211"/>
  <c r="T22" i="211" s="1"/>
  <c r="T23" i="211" s="1"/>
  <c r="F22" i="211"/>
  <c r="S21" i="211"/>
  <c r="S104" i="211" s="1"/>
  <c r="R21" i="211"/>
  <c r="P21" i="211"/>
  <c r="O21" i="211"/>
  <c r="M21" i="211"/>
  <c r="L21" i="211"/>
  <c r="K21" i="211"/>
  <c r="I21" i="211"/>
  <c r="H21" i="211"/>
  <c r="Q20" i="211"/>
  <c r="Q21" i="211" s="1"/>
  <c r="N20" i="211"/>
  <c r="N21" i="211" s="1"/>
  <c r="M20" i="211"/>
  <c r="J20" i="211" s="1"/>
  <c r="F20" i="211"/>
  <c r="F21" i="211" s="1"/>
  <c r="S19" i="211"/>
  <c r="R19" i="211"/>
  <c r="Q19" i="211"/>
  <c r="P19" i="211"/>
  <c r="O19" i="211"/>
  <c r="M19" i="211"/>
  <c r="L19" i="211"/>
  <c r="K19" i="211"/>
  <c r="I19" i="211"/>
  <c r="H19" i="211"/>
  <c r="N18" i="211"/>
  <c r="N19" i="211" s="1"/>
  <c r="J18" i="211"/>
  <c r="J19" i="211" s="1"/>
  <c r="F18" i="211"/>
  <c r="F19" i="211" s="1"/>
  <c r="S17" i="211"/>
  <c r="R17" i="211"/>
  <c r="Q17" i="211"/>
  <c r="P17" i="211"/>
  <c r="O17" i="211"/>
  <c r="M17" i="211"/>
  <c r="L17" i="211"/>
  <c r="K17" i="211"/>
  <c r="J17" i="211"/>
  <c r="I17" i="211"/>
  <c r="H17" i="211"/>
  <c r="G17" i="211"/>
  <c r="O16" i="211"/>
  <c r="N16" i="211"/>
  <c r="N17" i="211" s="1"/>
  <c r="K16" i="211"/>
  <c r="J16" i="211"/>
  <c r="F16" i="211"/>
  <c r="F17" i="211" s="1"/>
  <c r="S15" i="211"/>
  <c r="R15" i="211"/>
  <c r="Q15" i="211"/>
  <c r="P15" i="211"/>
  <c r="O15" i="211"/>
  <c r="N15" i="211"/>
  <c r="M15" i="211"/>
  <c r="L15" i="211"/>
  <c r="K15" i="211"/>
  <c r="J15" i="211"/>
  <c r="I15" i="211"/>
  <c r="H15" i="211"/>
  <c r="F15" i="211"/>
  <c r="T14" i="211"/>
  <c r="T15" i="211" s="1"/>
  <c r="N14" i="211"/>
  <c r="J14" i="211"/>
  <c r="F14" i="211"/>
  <c r="S13" i="211"/>
  <c r="R13" i="211"/>
  <c r="R104" i="211" s="1"/>
  <c r="Q13" i="211"/>
  <c r="P13" i="211"/>
  <c r="O13" i="211"/>
  <c r="N13" i="211"/>
  <c r="M13" i="211"/>
  <c r="L13" i="211"/>
  <c r="K13" i="211"/>
  <c r="I13" i="211"/>
  <c r="H13" i="211"/>
  <c r="H104" i="211" s="1"/>
  <c r="F13" i="211"/>
  <c r="T12" i="211"/>
  <c r="T13" i="211" s="1"/>
  <c r="N12" i="211"/>
  <c r="J12" i="211"/>
  <c r="J13" i="211" s="1"/>
  <c r="F76" i="213" l="1"/>
  <c r="F84" i="213"/>
  <c r="J76" i="213"/>
  <c r="T102" i="211"/>
  <c r="N103" i="211"/>
  <c r="T100" i="211"/>
  <c r="T103" i="211" s="1"/>
  <c r="J103" i="211"/>
  <c r="T69" i="211"/>
  <c r="J90" i="211"/>
  <c r="I99" i="211"/>
  <c r="J50" i="211"/>
  <c r="T49" i="211"/>
  <c r="T50" i="211" s="1"/>
  <c r="F60" i="211"/>
  <c r="F48" i="211"/>
  <c r="T20" i="211"/>
  <c r="T21" i="211" s="1"/>
  <c r="J21" i="211"/>
  <c r="I104" i="211"/>
  <c r="G60" i="211"/>
  <c r="J48" i="211"/>
  <c r="T30" i="211"/>
  <c r="T48" i="211" s="1"/>
  <c r="J54" i="211"/>
  <c r="T86" i="211"/>
  <c r="T90" i="211" s="1"/>
  <c r="N90" i="211"/>
  <c r="M99" i="211"/>
  <c r="M104" i="211" s="1"/>
  <c r="N48" i="211"/>
  <c r="N60" i="211" s="1"/>
  <c r="T81" i="211"/>
  <c r="J83" i="211"/>
  <c r="N98" i="211"/>
  <c r="N99" i="211" s="1"/>
  <c r="T96" i="211"/>
  <c r="P99" i="211"/>
  <c r="P104" i="211" s="1"/>
  <c r="T26" i="211"/>
  <c r="T29" i="211" s="1"/>
  <c r="T51" i="211"/>
  <c r="T54" i="211" s="1"/>
  <c r="P23" i="211"/>
  <c r="K48" i="211"/>
  <c r="O98" i="211"/>
  <c r="O99" i="211" s="1"/>
  <c r="T16" i="211"/>
  <c r="T17" i="211" s="1"/>
  <c r="T68" i="211"/>
  <c r="N24" i="211"/>
  <c r="N25" i="211" s="1"/>
  <c r="N104" i="211" s="1"/>
  <c r="O48" i="211"/>
  <c r="L83" i="211"/>
  <c r="L99" i="211" s="1"/>
  <c r="L104" i="211" s="1"/>
  <c r="T84" i="211"/>
  <c r="T85" i="211" s="1"/>
  <c r="T18" i="211"/>
  <c r="T19" i="211" s="1"/>
  <c r="J55" i="211"/>
  <c r="J77" i="211"/>
  <c r="T77" i="211" s="1"/>
  <c r="J93" i="211"/>
  <c r="T93" i="211" s="1"/>
  <c r="N55" i="211"/>
  <c r="N59" i="211" s="1"/>
  <c r="N82" i="211"/>
  <c r="N83" i="211" s="1"/>
  <c r="T91" i="211"/>
  <c r="F95" i="211"/>
  <c r="F98" i="211" s="1"/>
  <c r="F99" i="211" s="1"/>
  <c r="K50" i="211"/>
  <c r="K60" i="211" s="1"/>
  <c r="K104" i="211" s="1"/>
  <c r="Q90" i="211"/>
  <c r="Q99" i="211" s="1"/>
  <c r="Q104" i="211" s="1"/>
  <c r="J67" i="211"/>
  <c r="G25" i="211"/>
  <c r="G104" i="211" s="1"/>
  <c r="O54" i="211"/>
  <c r="N61" i="211"/>
  <c r="N67" i="211" s="1"/>
  <c r="T76" i="213" l="1"/>
  <c r="F104" i="211"/>
  <c r="T55" i="211"/>
  <c r="T59" i="211" s="1"/>
  <c r="J59" i="211"/>
  <c r="J60" i="211" s="1"/>
  <c r="J104" i="211" s="1"/>
  <c r="T24" i="211"/>
  <c r="T25" i="211" s="1"/>
  <c r="O60" i="211"/>
  <c r="O104" i="211" s="1"/>
  <c r="T60" i="211"/>
  <c r="T80" i="211"/>
  <c r="T82" i="211"/>
  <c r="T61" i="211"/>
  <c r="T67" i="211" s="1"/>
  <c r="T98" i="211"/>
  <c r="T99" i="211" s="1"/>
  <c r="T83" i="211"/>
  <c r="J98" i="211"/>
  <c r="J99" i="211" s="1"/>
  <c r="J80" i="211"/>
  <c r="T104" i="211" l="1"/>
</calcChain>
</file>

<file path=xl/sharedStrings.xml><?xml version="1.0" encoding="utf-8"?>
<sst xmlns="http://schemas.openxmlformats.org/spreadsheetml/2006/main" count="288" uniqueCount="154">
  <si>
    <t>ІНФОРМАЦІЯ</t>
  </si>
  <si>
    <t>грн.</t>
  </si>
  <si>
    <t xml:space="preserve">Код тимчасової класифікації видатків </t>
  </si>
  <si>
    <t>Підпрограма</t>
  </si>
  <si>
    <t xml:space="preserve">Код економічної класифікації видатків </t>
  </si>
  <si>
    <t>Найменування коду економічної класифікації видатків та назва об'єкта відповідно до проектно-кошторисної документації</t>
  </si>
  <si>
    <t xml:space="preserve">у тому числі за рахунок коштів </t>
  </si>
  <si>
    <t xml:space="preserve">Профінансовано  на звітну дату </t>
  </si>
  <si>
    <t xml:space="preserve">Проведено касових видатків  на звітну дату </t>
  </si>
  <si>
    <t>Залишок коштів на рахунках головних розпорядників коштів, розпорядників коштів нижчого рівня та отримувачів на звітну дату</t>
  </si>
  <si>
    <t>обласного бюджету</t>
  </si>
  <si>
    <t xml:space="preserve"> субвенції з державного бюджету</t>
  </si>
  <si>
    <t xml:space="preserve"> субвенції з районних та міських бюджетів </t>
  </si>
  <si>
    <t xml:space="preserve"> субвенції з державного бюджету </t>
  </si>
  <si>
    <t xml:space="preserve">субвенції з районних та міських бюджетів </t>
  </si>
  <si>
    <t>проведено касових видатків на звітну дату</t>
  </si>
  <si>
    <t>ВСЬОГО</t>
  </si>
  <si>
    <t>3142</t>
  </si>
  <si>
    <t>ВСЬОГО по 1517320</t>
  </si>
  <si>
    <t>заплановані видатки 2020 рік з урахуванням змін</t>
  </si>
  <si>
    <t>Реконструкція приймального відділення комунального некомерційного підприємства "Кіровоградська обласна лікарня Кіровоградської обласної ради" за адресою: просп. Університетський, 2/5, м. Кропивницький (з виготовленням проектно-кошторисної документації)</t>
  </si>
  <si>
    <t>Реконструкція приймального відділення комунального некомерційного підприємства "Міська лікарня швидкої медичної допомоги" Міської ради міста Кропивницького" за адресою: вул. Короленка, 56, м. Кропивницький (з виготовленням проектно-кошторисної документації)</t>
  </si>
  <si>
    <t>Реконструкція приймального відділення комунального підприємства "Центральна міська лікарня м. Олександрії Олександрійської міської ради" за адресою: вул. Ярмаркова, 15, м. Олександрія (з виготовленням проектно-кошторисної документації)</t>
  </si>
  <si>
    <t>Реконструкція приймального відділення комунального некомерційного підприємства "Добровеличківська центральна районна лікарня" Добровеличківської районної ради Кіровоградської області за адресою: пров.Аркадія Артюха, 10, смт. Добровеличківка (з виготовленням проектно-кошторисної документації)</t>
  </si>
  <si>
    <t>Реконструкція приймального відділення комунального некомерційного підприємства "Центральна районна лікарня" Гайворонської районної ради" за адресою: вул.Київська, 7, м.Гайворон  (з виготовленням проектно-кошторисної документації)</t>
  </si>
  <si>
    <t>Реконструкція даху (влаштування шатрового даху) будівлі КЗ "Центр соціально-психологічної реабілітації дітей" Кіровоградської обласної ради, за адресою: Кіровоградська область, м.Кропивницький, вул.Короленка, 50 Коригування проекту</t>
  </si>
  <si>
    <t>Реконструкція приймального відділення комунального некомерційного підприємства "Світловодська центральна районна лікарня" Світловодської міської ради за адресою: вул. Павлова, 16, м. Світловодськ (хірургічний корпус, який хнаходиться за (адресою: м.Світловодськ, вул.Героїв України,110) (з виготовленням проектно-кошторисної документації)</t>
  </si>
  <si>
    <t>Ремонтно-реставраційні роботи по відновленню даху частини будівлі (літера А2,А3) по вул.Гоголя, 44 у м.Кропивницький</t>
  </si>
  <si>
    <t xml:space="preserve"> </t>
  </si>
  <si>
    <t>Заплановані видатки на 2021 рік з урахуванням змін, разом</t>
  </si>
  <si>
    <t>Із загального обсягу видатків — кошти на погашення заборгованості. Яка утворилася станом на 01.01.2021 р.</t>
  </si>
  <si>
    <t>ВСЬОГО по 1511050</t>
  </si>
  <si>
    <t>ВСЬОГО по 1511030</t>
  </si>
  <si>
    <t>ВСЬОГО по 1517323</t>
  </si>
  <si>
    <t>ВСЬОГО по 1517322</t>
  </si>
  <si>
    <t>ВСЬОГО по 1517321</t>
  </si>
  <si>
    <t>ВСЬОГО по 1517324</t>
  </si>
  <si>
    <t>Реставрація будівлі Олександрійського міського Будинку культури по вул. 6-го Грудня, 2 в м.Олександрії Кіровоградської області (коригування)</t>
  </si>
  <si>
    <t>ВСЬОГО по 1517325</t>
  </si>
  <si>
    <t>Реконструкція зовнішніх електромереж комунального закладу "Обласна спеціалізована дитячо-юнацька школа олімпійського резерву - 2" по вул.Академіка Тамма, 2  м.Кропивницький (з виготовленням проектно-кошторисної документації)</t>
  </si>
  <si>
    <t>ВСЬОГО по 1517330</t>
  </si>
  <si>
    <t>Співфінансування інвестиційних проектів, які передбачається фінансувати у 2021 році за рахунок коштів державного фонду регіонального розвитку</t>
  </si>
  <si>
    <t>ВСЬОГО по 1517361</t>
  </si>
  <si>
    <t>ВСЬОГО по 1517363</t>
  </si>
  <si>
    <t>ВСЬОГО по 1517367</t>
  </si>
  <si>
    <t>ВСЬОГО по 1517368</t>
  </si>
  <si>
    <t>ВСЬОГО по 1517369</t>
  </si>
  <si>
    <t>ВСЬОГО по 1517360</t>
  </si>
  <si>
    <t>Вікторія Керничанська  32 27 36</t>
  </si>
  <si>
    <t>Реконструкція будівель, споруд, комунікацій та облаштування прилеглої території комунального некомерційного підприємства "Новоукраїнська центральна районна лікарня" Новоукраїнської районної ради (адреса 27100, Кіровоградська область, м.Новоукраїнка, провулок Лікарнянний, 1)" (з виготовленням проектно-кошторисної документації)</t>
  </si>
  <si>
    <t xml:space="preserve">Будівництво дошкільного навчального закладу на 120 місць по вул. Пушкіна в смт Голованівськ Кіровоградської області </t>
  </si>
  <si>
    <t xml:space="preserve">Будівництво дошкільного навчального закладу за адресою: вул. Польова, 2-в, с. Черняхівка Кіровоградського району Кіровоградської області </t>
  </si>
  <si>
    <t xml:space="preserve">Капітальний ремонт будівлі  Комунального закладу "Долинський опорний заклад загальної середньої освіти І-ІІІ ступенів № 4 Долинської міської ради" по вул. Ольгерда Бочковського, 1 м. Долинська Кіровоградської області </t>
  </si>
  <si>
    <t>Капітальний ремонт будівлі інфекційного відділення МКЛПЗ - Міська лікарня №1 по вул. Ярмаковій, 15 (Семашка, 15) в м. Олександрія Кіровоградської області</t>
  </si>
  <si>
    <t>Капітальний ремонт будівлі Маловисківської ЗОШ № 3 І-ІІІ ступенів (утеплення фасадів, покрівлі, заміна вікон та дверей) по вул. 20 років Жовтня, 3, м. Мала Виска, Кіровоградської області. Коригування</t>
  </si>
  <si>
    <t>Реконструкція позашкільного закладу "Кіровоградський обласний центр дитячої та юнацької творчості" по вул. Калініна, 36, в м. Кіровограді</t>
  </si>
  <si>
    <t>Реконструкція даху, стін з утепленням у корпусі № 1 ДНЗ "Ромашка" смт. Добровеличківка Добровеличківського району Кіровоградської області</t>
  </si>
  <si>
    <t>Реконструкція кінотеатру "Мрія" під спортивно-оздоровчий комплекс по вул. Центральна, 36 в смт. Онуфріївка Онуфріївського району Кіровоградської області</t>
  </si>
  <si>
    <t xml:space="preserve">Реконструкція  дошкільного навчального закладу № 7 "Козачок" корпус 2 по вул. Чайковського, 15 у м. Знам'янка Кіровоградської області. Коригування </t>
  </si>
  <si>
    <t xml:space="preserve">Капітальний ремонт покрівлі Помічняньської загальноосвітньої школи І-ІІІ ступенів № 3 Помічняньської міської ради Кіровоградської області </t>
  </si>
  <si>
    <t>Реконструкція локальної мережі комунального некомерційного підприємства "Кіровоградська обласна лікарня Кіровоградської обласної ради" за адресою: просп.Університетський, 2/5, м.Кропивницький. Коригування</t>
  </si>
  <si>
    <t>Нове будівництво будівлі центру надання адміністративних послуг за адресою: вул.Центральна, 92-к с.Войнівка, Олександрійського району, Кіровоградської області</t>
  </si>
  <si>
    <t>Роботи по пристосування (реставрації) пам'ятки архітектури та містобудування національного значення "Земляні укріплення Єлизаветинської фортеці (постанова Ради Міністрів Української РСР від 06 вересня 1979 року№442, охоронний №252/5) для встановлення флагштока Державного прапора України</t>
  </si>
  <si>
    <t>Коригування ПКД "Реконструкція бейсбольного стадіону комунального закладу "Обласна спеціалізована дитячо-юнацька школа олімпійського резерву - 2" за адресою: вул. Курганна,64-а, м.Кропивницький"</t>
  </si>
  <si>
    <t>по головному розпоряднику коштів Департамент капітального будівництва та інвестиційної діяльності Кіровоградської ОДА</t>
  </si>
  <si>
    <t>Реконструкція приміщення в КНП "Обласний клінічний онкологічний центр Кіровоградської обласної ради" для встановлення апарату для дистанційної променевої терапії  за адресою: вул.Ялтинська, 1, м. Кропивницький (з виготовленням проєктно-кошторисної  документації)</t>
  </si>
  <si>
    <t>Виготовлення проєктно-кошторисної документації на реконструкцію харчоблоку КНП "Обласна клінічна дитяча лікарня Кіровоградської обласної ради" за адресою м.Кропивницький, вул.Преображенська, 79/35</t>
  </si>
  <si>
    <t>Виготовлення проєктно-кошторисної документації на реконструкцію корпусу №6 КНП "Обласна клінічна дитяча лікарня Кіровоградської обласної ради" за адресою м.Кропивницький, вул.Преображенська, 79/35</t>
  </si>
  <si>
    <t>Виготовлення проєктно-кошторисної документації на реконструкцію корпусу №3 (інфекційне відділення) КНП "Обласна клінічна дитяча лікарня Кіровоградської обласної ради" за адресою м.Кропивницький, вул.Преображенська, 79/35</t>
  </si>
  <si>
    <t>Реконструкція головного корпусу станції переливання крові по вул.Преображенська, 88 у м.Кіровограді (коригування)</t>
  </si>
  <si>
    <t>Кіровоградська обласна дитяча лікарня по вул.Преображенській, 79/35, м.Кіровоград - реконструкція (І, ІІ, ІІІ, IV черга)</t>
  </si>
  <si>
    <t xml:space="preserve">Виготовлення проєктно-кошторисної документації  на будівництво ДЕС для забезпечення резервним джерелом електричного живлення КНП "Обласний клінічний госпіталь ветеранів війни Кіровоградської обласної ради", за адресою: вул.Короленка, 58, м.Кропивницький </t>
  </si>
  <si>
    <t>Виготовлення проєктно-кошторисної документації на ремонтно-реставраційні роботи Кіровоградської обласної філармонії за адресою: вул.Кавалерійська, 8, м.Кропивницький</t>
  </si>
  <si>
    <t xml:space="preserve">Виготовлення проєктно-кошторисної документації на ремонтно-реставраційні роботи  пам'ятки архітектури "Будинок лікаря, доктора медицини, вченого-антрополога С.А.Вайсенберга" (охороний №74-Кр) по вул. Віктора Чміленка, 74/42  у м.Кропивницькому </t>
  </si>
  <si>
    <t>Капітальний ремонт - заміна віконних блоків на металопластикові з енергозберігаючими склопакетами в комплексі будівель (навчальний комплекс; їдальня; пральня) у Новомиргородській спеціальній загальноосвітній школі-інтернат I-III ступенів Кіровоградської обласної ради за адресою: Кіровоградська область, м.Новомиргород, вул.Маяковського, 20</t>
  </si>
  <si>
    <t>Капітальний ремонт м'якої  покрівлі спального корпусу у комунальному закладі "Центральноукраїнський ліцей-інтернат спортивного профілю Кіровоградської обласної ради", що розташований у Кіровоградській області, м.Олександрія, смт Пантаївка, вул.Шкільна, 1</t>
  </si>
  <si>
    <t>Реконструкція каналізаційної насосної станції (КНС) по вул.Графа Толстого сел.Онуфріївка Кіровоградської області</t>
  </si>
  <si>
    <t>Реконструкція приймального відділення комунального некомерційного підприємства "Знам'янська міська лікарня імені А.В.Лисенка" за адресою: вул.М.Грушевського, 15 м.Знам'янка (головний корпус, який знаходиться за адресою: м.Знам'янка, вул.Гагаріна, 27-Т). Коригування</t>
  </si>
  <si>
    <t xml:space="preserve">Капітальний ремонт сходової клітини будівлі інфекційного відділення Кіровоградської обласної лікарні по просп.Університетському                                   2/5 у м.Кропивницький </t>
  </si>
  <si>
    <t>ВСЬОГО по 1511062</t>
  </si>
  <si>
    <t>Реконструкція будівлі комунального закладу "Знам'янська спеціальна школа Кіровоградської обласної ради" за адресою: вул. Віктора Голого, 89 м. Знам'янка, Кіровоградської області м(з виготовленням ПКД)</t>
  </si>
  <si>
    <t>Реконструкція будівлі комунального закладу "Кіровоградська обласна спеціалізована дитячо-юнацька спортивна школа олімпійського резерву "НАДІЯ" розташована за адресою: вул.Велика Пермська, 1 у м.Кропивницький</t>
  </si>
  <si>
    <t>ВСЬОГО по 1515048</t>
  </si>
  <si>
    <t>Реконструкція комунального  закладу "Обласна спеціалізована дитячо - юнацька школа олімпійського резерву - 2" по вул. Академіка Тамма, 2 м. Кропивницький. (Коригування)</t>
  </si>
  <si>
    <t>Коригування ПКД " Будівництво Долинського групового водопроводу водопостачання м. Долинська Кіровоградської області. Коригування"</t>
  </si>
  <si>
    <t>Реконструкція загальноосвітньої школи І-ІІІ ступенів № 8 Світловодської міської ради Кіровоградської області по вул.Труда, 86, смт Власівка, м.Світловодськ Кіровоградської області</t>
  </si>
  <si>
    <t>ВСЬОГО по 1511171</t>
  </si>
  <si>
    <t>Реконструкція загальноосвітньої школи І-ІІІ ступенів, Побузької селищної ради за адресою: селище Побузьке, вул.Шкільна, 8 Голованівського району Кіровоградської області (Коригування)</t>
  </si>
  <si>
    <t>Виготовлення проєктно-кошторисної документації на реконструкцію операційного блоку комунального некомерційного підприємства "Кіровоградська обласна лікарня Кіровоградської обласної ради" за адресою: проспект Університетський, 2/5, м. Кропивницький</t>
  </si>
  <si>
    <t>Виготовлення проєктно-кошторисної документації на реконструкцію системи електропостачання х влаштуванням резервних електростанцій COVIDних відділень комунального некомерційного підприємства "Кіровоградська обласна лікарня Кіровоградської обласної ради" за адресою: проспект Університетський, 2/5, м. Кропивницький</t>
  </si>
  <si>
    <t>Виготовлення проєктно-кошторисної документації на капітальний ремонт гематологічного відділення комунального некомерційного підприємства "Кіровоградська обласна лікарня Кіровоградської обласної ради" за адресою: проспект Університетський, 2/5, м. Кропивницький</t>
  </si>
  <si>
    <t>ВСЬГО по 1517380</t>
  </si>
  <si>
    <t>ВСЬОГО по 1511172</t>
  </si>
  <si>
    <t>3143</t>
  </si>
  <si>
    <t>Виготовлення проєктно-кошторисної документації на реконструкцію теплового пункту під котельню комунального некомерційного підприємства "Кіровоградська обласна лікарня Кіровоградської обласної ради" за адресою: проспект Університетський, 2/5, м.Кропивницький</t>
  </si>
  <si>
    <t>Виготовлення проєктно-кошторисної документації на капітальний ремонт корпусу № 3 комунального некомерційного підприємства "Кіровоградська обласна лікарня Кіровоградської обласної ради" за адресою: проспект Університетський, 2/5, м. Кропивницький</t>
  </si>
  <si>
    <t>Виготовлення проєктно-кошторисної документації на реконструкцію корпусів № 5, № 6 комунального некомерційного підприємства "Кіровоградська обласна лікарня Кіровоградської обласної ради" за адресою: проспект Університетський, 2/5, м. Кропивницький</t>
  </si>
  <si>
    <t>Виготовлення проєктно-кошторисної документації на реконструкцію  приміщення харчоблоку комунального некомерційного підприємства "Кіровоградська обласна лікарня Кіровоградської обласної ради" за адресою: проспект Університетський, 2/5, м. Кропивницький</t>
  </si>
  <si>
    <t>Ремонтно-реставраційні роботи будівлі Кіровоградського обласного краєзнавчого музею-пам'ятки архітектури місцевого значення "Колишній особняк" за адресою: вул. Архітектора Паученка, 40, м.Кропивницький (коригування)</t>
  </si>
  <si>
    <t>Виготовлення проєктно-кошторисної документації на реконструкцію частини парку – пам'ятки садово-паркового мистецтва "Козачий острів" під розміщення урбан-парку за адресою: Кіровоградська область, м. Кропивницький, просп. Винниченка</t>
  </si>
  <si>
    <t>Проведення інженерно-геологічних вишукувань для виготовлення проєктно-кошторисної документації на реконструкцію частини парку – пам'ятки садово-паркового мистецтва "Козачий острів" під розміщення урбан-парку за адресою: Кіровоградська область, м. Кропивницький, просп. Винниченка</t>
  </si>
  <si>
    <t xml:space="preserve">Виготовлення проєктно-кошторисної документації на нове будівництво мультифункціонального спортивного комплексу обласної комплексної дитячо-юнацької спортивної школи "Ніка" за адресою: Кіровоградська область, м. Кропивницький, на розі вулиць Генерала Жадова та Юрія Коваленка
</t>
  </si>
  <si>
    <t xml:space="preserve">Виготовлення проєктно-кошторисної документації на нове будівництво вертолітного злітно-посадкового майданчику за адресою: проспект Університетський, 2/5, м. Кропивницький
</t>
  </si>
  <si>
    <t>про видатки, фінансування яких проводиться у 2021 році за рахунок коштів бюджету розвитку обласного бюджету станом на 01 січня 2022 року</t>
  </si>
  <si>
    <t>Заплановані видатки на 2022 рік з урахуванням змін, разом</t>
  </si>
  <si>
    <t>Капітальний ремонт гематологічного відділення комунального некомерційного підприємства "Кіровоградська обласна лікарня Кіровоградської обласної ради" за адресою: проспект Університетський, 2/5, м.Кропивницький (з виготовленням проєктно-кошторисної документації)</t>
  </si>
  <si>
    <t>ВСЬОГО по 1512010</t>
  </si>
  <si>
    <t>Капітальний ремонт корпусу №3 комунального некомерційного підприємства "Кіровоградська обласна лікарня Кіровоградської обласної ради" за адресою: проспект Університетський, 2/5, м.Кропивницький (з виготовленням проєктно-кошторисної документації)</t>
  </si>
  <si>
    <t>ВСЬОГО по 1512020</t>
  </si>
  <si>
    <t>Капітальний ремонт Кіровоградського обласного госпіталю для інвалідів Вітчизняної війни по вул. Короленка, 58 у м. Кіровограді (коригування)</t>
  </si>
  <si>
    <t>Капітальний ремонт філії обласного краєзнавчого музею "Музейно-природний заповідник Тобілевичі" в с.Арсенівка Новомиргородського району Кіровоградської області. Коригування</t>
  </si>
  <si>
    <t>ВСЬОГО по 1514040</t>
  </si>
  <si>
    <t>Реконструкція корпусу №4-А комунального некомерційного підприємства "Кіровоградська обласна лікарня Кіровоградської обласної ради" за адресою: проспект Університетський, 2/5, м.Кропивницький (з виготовленням проєктно-кошторисної документації)</t>
  </si>
  <si>
    <t>Реконструкція корпусів №5, №6 комунального некомерційного підприємства "Кіровоградська обласна лікарня Кіровоградської обласної ради" за адресою: проспект Університетський, 2/5, м.Кропивницький (з виготовленням проєктно-кошторисної документації)</t>
  </si>
  <si>
    <t>про видатки, фінансування яких проводиться у 2022 році за рахунок коштів бюджету розвитку обласного бюджету станом на 12 лютого 2022 року</t>
  </si>
  <si>
    <t>Реконструкція приміщення харчоблоку комунального некомерційного підприємства "Кіровоградська обласна лікарня Кіровоградської обласної ради" за адресою: проспект Університетський, 2/5, м.Кропивницький (з виготовленням проєктно-кошторисної документації)</t>
  </si>
  <si>
    <t>Реконструкція операційного блоку комунального некомерційного підприємства "Кіровоградська обласна лікарня Кіровоградської обласної ради" за адресою: проспект Університетський, 2/5, м.Кропивницький (з виготовленням проєктно-кошторисної документаці</t>
  </si>
  <si>
    <t>Реконструкція бейсбольного стадіону комунального закладу "Обласна спеціалізована дитячо-юнацька школа олімпійського резерву - 2" за адресою: вул.Курганна, 64-а, м.Кропивницький (коригування)</t>
  </si>
  <si>
    <t>Нове будівництво мультифункціонального спортивного комплексу обласної комплексної дитячо-юнацької спортивної школи "Ніка" за адресою: Кіровоградська область, м.Кропивницький, на розі вулиць Генерала Жадова та Юрія Коваленка (з виготовленням проєктно-кошторисної документації)</t>
  </si>
  <si>
    <t>Виготовлення проєктно-кошторисної документації на нове будівництво льодової арени у м.Кропивницькому</t>
  </si>
  <si>
    <t>Нове будівництво вертолітного злітно-посадкового майданчику за адресою: проспект Університетський, 2/5, м.Кропивницький (з виготовленням проєктно-кошторисної документації)</t>
  </si>
  <si>
    <t>Будівництво дошкільного навчального закладу за адресою: вул. Польова, 2-в, с. Черняхівка Кіровоградського району Кіровоградської області (Коригування)</t>
  </si>
  <si>
    <t>Співфінансування інвестиційних проектів, які передбачається фінансувати у 2022 році за рахунок коштів державного фонду регіонального розвитку</t>
  </si>
  <si>
    <t>ВСЬОГО по 1517340</t>
  </si>
  <si>
    <t>Наталія Ковтун  32 27 36</t>
  </si>
  <si>
    <t>Ремонтно-реставраційні роботи Кіровоградської обласної філармонії за адресою: вул.Кавалерійська, 8, м.Кропивницький (з виготовленням проєктно-кошторисної документації)</t>
  </si>
  <si>
    <t>Реставрація будівлі за адресою: вул.Гоголя, 44 у м.Кропивницький (з виготовленням проєктно-кошторисної документації)</t>
  </si>
  <si>
    <t>Реконструкція системи електропостачання з влаштуванням резервних електростанцій COVIDних відділень комунального некомерційного підприємства "Кіровоградська обласна лікарня Кіровоградської обласної ради" за адресою: проспект Університетський, 2/5, м.Кропивницький</t>
  </si>
  <si>
    <t>Реконструкція харчоблоку
КНП "Обласна клінічна дитяча лікарня Кіровоградської обласної ради" за адресою м.Кропивницький, вул.Преображенська, 79/35</t>
  </si>
  <si>
    <t>Реконструкція корпусу № 6 КНП "Обласна клінічна дитяча лікарня Кіровоградської обласної ради" за адресою м.Кропивницький, вул.Преображенська, 79/35</t>
  </si>
  <si>
    <t xml:space="preserve">Реконструкція корпусу № 3 (інфекційне відділення) 
КНП "Обласна клінічна дитяча лікарня Кіровоградської обласної ради" за адресою м.Кропивницький, вул.Преображенська, 79/35
</t>
  </si>
  <si>
    <t>Реконструкція приміщення в КНП "Обласний клінічний онкологічний центр Кіровоградської обласної ради" для встановлення апарату для дистанційної променевої терапії  за адресою: вул.Ялтинська, 1, м.Кропивницький (з виготовленням проєктно-кошторисної  документації)</t>
  </si>
  <si>
    <t>Реконструкція теплового пункту під котельню комунального некомерційного підприємства «Кіровоградська обласна лікарня Кіровоградської обласної ради» за адресою: проспект Університетський, 2/5, м.Кропивницький (з виготовленням проєктно-кошторисної документації)</t>
  </si>
  <si>
    <t>Реконструкція лівобережної частини набережної річки Інгул під улаштування "Урбан-парку" між вулицями Пашутінською та Михайлівськоюу місті Кропивницькому Кіровоградської області (з виготовленням проєктно-кошторисної  документації)</t>
  </si>
  <si>
    <t>Ремонтно-реставраційні роботи будівлі Кіровоградського обласного краєзнавчого музею - пам’ятки архітектури місцевого значення "Колишній особняк" за адресою: вул. Архітектора Паученка, 40, м.Кропивницький (Коригування)</t>
  </si>
  <si>
    <t>Реконструкція позашкільного закладу "Кіровоградський обласний центр дитячої та юнацької творчості" по вул.Калініна, 36, в м.Кіровограді (Коригування)</t>
  </si>
  <si>
    <t>Капітальний ремонт будівлі головного корпусу Смолінського НВО "Загальноосвітня школа І-ІІІ ступенів – гімназія-позашкільний навчальний заклад"Смолінської селищної ради Маловисківського району Кіровоградської області (із застосуванням енергоефективних рішень) по вул. Казакова, 42, смт Смоліне Маловисківського району Кіровоградської області. Коригування</t>
  </si>
  <si>
    <t>Реконструкція кінотеатру "Мрія" під спортивно-оздоровчий комплекс по вул.Центральна, 36 в смт.Онуфріївка Онуфріївського району Кіровоградської області (коригування)</t>
  </si>
  <si>
    <t>Капітальний ремонт (санація) будівлі Олександрійського навчально – виховного комплексу (ЗНЗ I-II ступенів №17 - ліцей) Олександрійської міської ради, Кіровоградської області, проспект Соборний, б.130, м. Олександрія, Кіровоградської області</t>
  </si>
  <si>
    <t>Нове будівництво двоповерхової прибудови до будівлі дитячого дошкільного закладу "Оленка" – приміщень дитячого осередку садової групи та зали для музичних і фізкультурних занять по вул.Сухомлинського, 33а в смт.Павлиш Онуфріївського району Кіровоградської області</t>
  </si>
  <si>
    <t>Капітальний ремонт будівлі інфекційного відділення МКЛПЗ-Міська лікарня №1 по вул. Ярмарковій, 15 (Семашка, 15) в м.Олександрія Кіровоградської області (Коригування)</t>
  </si>
  <si>
    <t>Реконструкція очисних споруд потужністю 65 м.куб/добу в сел.Онуфріївка Кіровоградської області. Коригування</t>
  </si>
  <si>
    <t>Реконструкція центрального міського стадіону та адміністративної будівлі дитячо-юнацької спортивної школи Новоукраїнської міської ради за адресою: Кіровоградська область, м.Новоукраїнка, вул.О.Гіталова, 13/74</t>
  </si>
  <si>
    <t>ВСЬОГО по 1517370</t>
  </si>
  <si>
    <t>Капітальний ремонт Комунального закладу "Піщанобрідське навчально-виховне об'єднання "загальноосвітня школа І-ІІІ ступенів - дошкільний навчальний заклад" Піщанобрідської сільської ради Кіровоградської області (філія Піщанобрідський навчально-виховний комплекс "загальноосвітня школа І-ІІ ступенів – дошкільний навчальний заклад") села Піщаний Брід, Добровеличківського району Кіровоградської області, вул.Садова 1 (коригування)</t>
  </si>
  <si>
    <t>Капітальний ремонт Добровеличківського закладу загальної середньої освіти 
І-ІІІ ступенів №1 Добровеличківської селищної ради, Кіровоградської області за адресою: Кіровоградська область, Новоукраїнський район, смт. Добровеличківка, вул.Українська, 121</t>
  </si>
  <si>
    <t>Капітальний ремонт приміщень та харчоблоку КЗ "Ліцей науковий" міської ради міста Кропивницького</t>
  </si>
  <si>
    <t>Капітальний ремонт ДНВК "ясла-садок "Калинонька", корпус 1, за адресою м.Новомиргород, вул.Є.Присяжного, 57</t>
  </si>
  <si>
    <t>Капітальний ремонт стадіону та адміністративного приміщення Голованівської дитячо-юнацької спортивної школи. Коригування</t>
  </si>
  <si>
    <t>Реконструкція стадіону "Юність" комунального закладу "Комплексна дитячо-юнацька спортивна школа № 2" за адресою місто  Кропивницький вул. Курганна, 64" (Коригування)</t>
  </si>
  <si>
    <t>Реконструкція приймального відділення комунального некомерційного підприємства "Кіровоградська обласна лікарня Кіровоградської обласної ради" за адресою: просп. Університетський, 2/5, м.Кропивницький. Коригування</t>
  </si>
  <si>
    <t>Реконструкція приймального відділення комунального некомерційного підприємства "Знам'янська міська лікарня імені А.В.Лисенка" за адресою: вул.М.Грушевського, 15 м.Знам'янка (головний корпус, який знаходиться за адресою: м.Знам'янка, вул.Гагаріна, 
27-Т). Коригування</t>
  </si>
  <si>
    <t>про видатки, фінансування яких проводиться у 2022 році за рахунок коштів бюджету розвитку обласного бюджету станом на 18 лютого 2022 року</t>
  </si>
  <si>
    <t>Наталія КОВТУН  32 27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</si>
</sst>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0"/>
  </numFmts>
  <fonts count="31" x14ac:knownFonts="1">
    <font>
      <sz val="10"/>
      <name val="Arial Cyr"/>
      <family val="2"/>
      <charset val="204"/>
    </font>
    <font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0"/>
      <name val="Arial Cyr"/>
      <family val="2"/>
      <charset val="204"/>
    </font>
    <font>
      <b/>
      <i/>
      <sz val="36"/>
      <name val="Times New Roman"/>
      <family val="1"/>
      <charset val="204"/>
    </font>
    <font>
      <b/>
      <sz val="40"/>
      <name val="Times New Roman"/>
      <family val="1"/>
      <charset val="204"/>
    </font>
    <font>
      <b/>
      <i/>
      <sz val="40"/>
      <name val="Times New Roman"/>
      <family val="1"/>
      <charset val="204"/>
    </font>
    <font>
      <sz val="40"/>
      <name val="Arial Cyr"/>
      <family val="2"/>
      <charset val="204"/>
    </font>
    <font>
      <b/>
      <sz val="40"/>
      <name val="Arial Cyr"/>
      <family val="2"/>
      <charset val="204"/>
    </font>
    <font>
      <sz val="40"/>
      <name val="Times New Roman"/>
      <family val="1"/>
      <charset val="204"/>
    </font>
    <font>
      <sz val="40"/>
      <color indexed="8"/>
      <name val="Times New Roman Cyr"/>
      <family val="1"/>
      <charset val="204"/>
    </font>
    <font>
      <sz val="40"/>
      <name val="Times New Roman Cyr"/>
      <family val="1"/>
      <charset val="204"/>
    </font>
    <font>
      <b/>
      <i/>
      <sz val="40"/>
      <name val="Times New Roman Cyr"/>
      <family val="1"/>
      <charset val="204"/>
    </font>
    <font>
      <sz val="40"/>
      <color indexed="8"/>
      <name val="Times New Roman"/>
      <family val="1"/>
      <charset val="204"/>
    </font>
    <font>
      <b/>
      <sz val="40"/>
      <name val="Times New Roman Cyr"/>
      <family val="1"/>
      <charset val="204"/>
    </font>
    <font>
      <sz val="40"/>
      <name val="Times New Roman Cyr"/>
      <charset val="204"/>
    </font>
    <font>
      <b/>
      <i/>
      <sz val="40"/>
      <name val="Times New Roman Cyr"/>
      <charset val="204"/>
    </font>
    <font>
      <sz val="40"/>
      <color indexed="8"/>
      <name val="Times New Roman Cyr"/>
      <charset val="204"/>
    </font>
    <font>
      <b/>
      <i/>
      <sz val="40"/>
      <color indexed="8"/>
      <name val="Times New Roman Cyr"/>
      <charset val="204"/>
    </font>
    <font>
      <b/>
      <sz val="40"/>
      <color indexed="8"/>
      <name val="Times New Roman Cyr"/>
      <family val="1"/>
      <charset val="204"/>
    </font>
    <font>
      <b/>
      <i/>
      <sz val="40"/>
      <color indexed="8"/>
      <name val="Times New Roman Cyr"/>
      <family val="1"/>
      <charset val="204"/>
    </font>
    <font>
      <b/>
      <sz val="40"/>
      <name val="Arial"/>
      <family val="2"/>
      <charset val="204"/>
    </font>
    <font>
      <b/>
      <sz val="42"/>
      <name val="Times New Roman"/>
      <family val="1"/>
      <charset val="204"/>
    </font>
    <font>
      <b/>
      <sz val="35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36"/>
      <name val="Times New Roman"/>
      <family val="1"/>
      <charset val="204"/>
    </font>
    <font>
      <sz val="38"/>
      <name val="Times New Roman"/>
      <family val="1"/>
      <charset val="204"/>
    </font>
    <font>
      <sz val="32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43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0" tint="-0.249977111117893"/>
        <bgColor indexed="43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A7E8FF"/>
        <bgColor indexed="31"/>
      </patternFill>
    </fill>
    <fill>
      <patternFill patternType="solid">
        <fgColor rgb="FFCCFF33"/>
        <bgColor indexed="31"/>
      </patternFill>
    </fill>
    <fill>
      <patternFill patternType="solid">
        <fgColor rgb="FFC5F0FF"/>
        <bgColor indexed="31"/>
      </patternFill>
    </fill>
    <fill>
      <patternFill patternType="solid">
        <fgColor rgb="FFFFFF99"/>
        <bgColor indexed="26"/>
      </patternFill>
    </fill>
    <fill>
      <patternFill patternType="solid">
        <fgColor rgb="FFCCFF33"/>
        <bgColor indexed="43"/>
      </patternFill>
    </fill>
    <fill>
      <patternFill patternType="solid">
        <fgColor rgb="FF74F9FC"/>
        <bgColor indexed="27"/>
      </patternFill>
    </fill>
    <fill>
      <patternFill patternType="solid">
        <fgColor rgb="FF74F9FC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1" tint="0.499984740745262"/>
        <bgColor indexed="43"/>
      </patternFill>
    </fill>
    <fill>
      <patternFill patternType="solid">
        <fgColor rgb="FFFFC000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267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" fontId="3" fillId="2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3" fillId="2" borderId="0" xfId="0" applyFont="1" applyFill="1"/>
    <xf numFmtId="0" fontId="0" fillId="9" borderId="0" xfId="0" applyFill="1"/>
    <xf numFmtId="0" fontId="2" fillId="9" borderId="0" xfId="0" applyFont="1" applyFill="1"/>
    <xf numFmtId="0" fontId="1" fillId="9" borderId="0" xfId="0" applyFont="1" applyFill="1"/>
    <xf numFmtId="0" fontId="1" fillId="17" borderId="0" xfId="0" applyFont="1" applyFill="1"/>
    <xf numFmtId="0" fontId="1" fillId="13" borderId="0" xfId="0" applyFont="1" applyFill="1"/>
    <xf numFmtId="0" fontId="0" fillId="18" borderId="0" xfId="0" applyFill="1"/>
    <xf numFmtId="0" fontId="0" fillId="9" borderId="0" xfId="0" applyFont="1" applyFill="1"/>
    <xf numFmtId="0" fontId="0" fillId="18" borderId="0" xfId="0" applyFont="1" applyFill="1"/>
    <xf numFmtId="0" fontId="5" fillId="9" borderId="0" xfId="0" applyFont="1" applyFill="1"/>
    <xf numFmtId="0" fontId="3" fillId="9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vertical="center" wrapText="1"/>
    </xf>
    <xf numFmtId="1" fontId="6" fillId="2" borderId="0" xfId="0" applyNumberFormat="1" applyFont="1" applyFill="1"/>
    <xf numFmtId="0" fontId="7" fillId="2" borderId="0" xfId="0" applyFont="1" applyFill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vertical="top" wrapText="1"/>
    </xf>
    <xf numFmtId="164" fontId="13" fillId="0" borderId="1" xfId="0" applyNumberFormat="1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horizontal="left" vertical="top" wrapText="1"/>
    </xf>
    <xf numFmtId="164" fontId="17" fillId="18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1" fontId="7" fillId="2" borderId="0" xfId="0" applyNumberFormat="1" applyFont="1" applyFill="1" applyAlignment="1">
      <alignment vertical="top" wrapText="1"/>
    </xf>
    <xf numFmtId="1" fontId="8" fillId="2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10" fillId="2" borderId="0" xfId="0" applyFont="1" applyFill="1" applyAlignment="1">
      <alignment horizontal="center" vertical="top"/>
    </xf>
    <xf numFmtId="1" fontId="12" fillId="0" borderId="1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left" vertical="top" wrapText="1"/>
    </xf>
    <xf numFmtId="4" fontId="11" fillId="3" borderId="1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/>
    </xf>
    <xf numFmtId="4" fontId="11" fillId="0" borderId="1" xfId="0" applyNumberFormat="1" applyFont="1" applyFill="1" applyBorder="1" applyAlignment="1">
      <alignment horizontal="right" vertical="top"/>
    </xf>
    <xf numFmtId="4" fontId="11" fillId="4" borderId="1" xfId="0" applyNumberFormat="1" applyFont="1" applyFill="1" applyBorder="1" applyAlignment="1">
      <alignment horizontal="right" vertical="top"/>
    </xf>
    <xf numFmtId="4" fontId="11" fillId="5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Fill="1" applyBorder="1" applyAlignment="1">
      <alignment horizontal="right" vertical="top" wrapText="1"/>
    </xf>
    <xf numFmtId="4" fontId="7" fillId="10" borderId="1" xfId="0" applyNumberFormat="1" applyFont="1" applyFill="1" applyBorder="1" applyAlignment="1">
      <alignment horizontal="right" vertical="top"/>
    </xf>
    <xf numFmtId="4" fontId="7" fillId="6" borderId="1" xfId="0" applyNumberFormat="1" applyFont="1" applyFill="1" applyBorder="1" applyAlignment="1">
      <alignment horizontal="right" vertical="top"/>
    </xf>
    <xf numFmtId="4" fontId="8" fillId="6" borderId="1" xfId="0" applyNumberFormat="1" applyFont="1" applyFill="1" applyBorder="1" applyAlignment="1">
      <alignment horizontal="right" vertical="top"/>
    </xf>
    <xf numFmtId="1" fontId="18" fillId="0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/>
    </xf>
    <xf numFmtId="1" fontId="11" fillId="0" borderId="1" xfId="0" applyNumberFormat="1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4" fontId="7" fillId="6" borderId="1" xfId="0" applyNumberFormat="1" applyFont="1" applyFill="1" applyBorder="1" applyAlignment="1">
      <alignment vertical="top"/>
    </xf>
    <xf numFmtId="4" fontId="8" fillId="6" borderId="1" xfId="0" applyNumberFormat="1" applyFont="1" applyFill="1" applyBorder="1" applyAlignment="1">
      <alignment vertical="top"/>
    </xf>
    <xf numFmtId="0" fontId="11" fillId="11" borderId="1" xfId="0" applyNumberFormat="1" applyFont="1" applyFill="1" applyBorder="1" applyAlignment="1">
      <alignment horizontal="center" vertical="top"/>
    </xf>
    <xf numFmtId="0" fontId="8" fillId="11" borderId="1" xfId="0" applyNumberFormat="1" applyFont="1" applyFill="1" applyBorder="1" applyAlignment="1">
      <alignment horizontal="center" vertical="top"/>
    </xf>
    <xf numFmtId="4" fontId="11" fillId="11" borderId="1" xfId="0" applyNumberFormat="1" applyFont="1" applyFill="1" applyBorder="1" applyAlignment="1">
      <alignment horizontal="left" vertical="top" wrapText="1"/>
    </xf>
    <xf numFmtId="4" fontId="11" fillId="21" borderId="1" xfId="0" applyNumberFormat="1" applyFont="1" applyFill="1" applyBorder="1" applyAlignment="1">
      <alignment horizontal="right" vertical="top"/>
    </xf>
    <xf numFmtId="4" fontId="11" fillId="11" borderId="1" xfId="0" applyNumberFormat="1" applyFont="1" applyFill="1" applyBorder="1" applyAlignment="1">
      <alignment horizontal="right" vertical="top"/>
    </xf>
    <xf numFmtId="4" fontId="11" fillId="20" borderId="1" xfId="0" applyNumberFormat="1" applyFont="1" applyFill="1" applyBorder="1" applyAlignment="1">
      <alignment horizontal="right" vertical="top"/>
    </xf>
    <xf numFmtId="4" fontId="11" fillId="19" borderId="1" xfId="0" applyNumberFormat="1" applyFont="1" applyFill="1" applyBorder="1" applyAlignment="1">
      <alignment horizontal="right" vertical="top"/>
    </xf>
    <xf numFmtId="4" fontId="11" fillId="22" borderId="1" xfId="0" applyNumberFormat="1" applyFont="1" applyFill="1" applyBorder="1" applyAlignment="1">
      <alignment horizontal="right" vertical="top"/>
    </xf>
    <xf numFmtId="4" fontId="8" fillId="10" borderId="1" xfId="0" applyNumberFormat="1" applyFont="1" applyFill="1" applyBorder="1" applyAlignment="1">
      <alignment horizontal="right" vertical="top"/>
    </xf>
    <xf numFmtId="1" fontId="13" fillId="18" borderId="1" xfId="0" applyNumberFormat="1" applyFont="1" applyFill="1" applyBorder="1" applyAlignment="1">
      <alignment horizontal="center" vertical="top"/>
    </xf>
    <xf numFmtId="1" fontId="14" fillId="18" borderId="1" xfId="0" applyNumberFormat="1" applyFont="1" applyFill="1" applyBorder="1" applyAlignment="1">
      <alignment horizontal="center" vertical="top"/>
    </xf>
    <xf numFmtId="4" fontId="11" fillId="18" borderId="1" xfId="0" applyNumberFormat="1" applyFont="1" applyFill="1" applyBorder="1" applyAlignment="1">
      <alignment horizontal="right" vertical="top"/>
    </xf>
    <xf numFmtId="4" fontId="11" fillId="23" borderId="1" xfId="0" applyNumberFormat="1" applyFont="1" applyFill="1" applyBorder="1" applyAlignment="1">
      <alignment horizontal="right" vertical="top"/>
    </xf>
    <xf numFmtId="4" fontId="11" fillId="18" borderId="1" xfId="0" applyNumberFormat="1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horizontal="center" vertical="top"/>
    </xf>
    <xf numFmtId="4" fontId="11" fillId="11" borderId="1" xfId="0" applyNumberFormat="1" applyFont="1" applyFill="1" applyBorder="1" applyAlignment="1">
      <alignment horizontal="center" vertical="top"/>
    </xf>
    <xf numFmtId="4" fontId="11" fillId="4" borderId="1" xfId="0" applyNumberFormat="1" applyFont="1" applyFill="1" applyBorder="1" applyAlignment="1">
      <alignment horizontal="center" vertical="top"/>
    </xf>
    <xf numFmtId="4" fontId="7" fillId="11" borderId="1" xfId="0" applyNumberFormat="1" applyFont="1" applyFill="1" applyBorder="1" applyAlignment="1">
      <alignment horizontal="center" vertical="top"/>
    </xf>
    <xf numFmtId="4" fontId="11" fillId="5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vertical="top" wrapText="1"/>
    </xf>
    <xf numFmtId="4" fontId="7" fillId="11" borderId="1" xfId="0" applyNumberFormat="1" applyFont="1" applyFill="1" applyBorder="1" applyAlignment="1">
      <alignment horizontal="left" vertical="top"/>
    </xf>
    <xf numFmtId="1" fontId="19" fillId="12" borderId="2" xfId="0" applyNumberFormat="1" applyFont="1" applyFill="1" applyBorder="1" applyAlignment="1">
      <alignment horizontal="center" vertical="top"/>
    </xf>
    <xf numFmtId="1" fontId="19" fillId="12" borderId="1" xfId="0" applyNumberFormat="1" applyFont="1" applyFill="1" applyBorder="1" applyAlignment="1">
      <alignment horizontal="left" vertical="top"/>
    </xf>
    <xf numFmtId="1" fontId="20" fillId="12" borderId="1" xfId="0" applyNumberFormat="1" applyFont="1" applyFill="1" applyBorder="1" applyAlignment="1">
      <alignment horizontal="left" vertical="top"/>
    </xf>
    <xf numFmtId="4" fontId="11" fillId="13" borderId="1" xfId="0" applyNumberFormat="1" applyFont="1" applyFill="1" applyBorder="1" applyAlignment="1">
      <alignment horizontal="right" vertical="top"/>
    </xf>
    <xf numFmtId="1" fontId="21" fillId="12" borderId="1" xfId="0" applyNumberFormat="1" applyFont="1" applyFill="1" applyBorder="1" applyAlignment="1">
      <alignment horizontal="left" vertical="top"/>
    </xf>
    <xf numFmtId="4" fontId="11" fillId="14" borderId="1" xfId="0" applyNumberFormat="1" applyFont="1" applyFill="1" applyBorder="1" applyAlignment="1">
      <alignment horizontal="right" vertical="top"/>
    </xf>
    <xf numFmtId="4" fontId="11" fillId="15" borderId="1" xfId="0" applyNumberFormat="1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left" vertical="top"/>
    </xf>
    <xf numFmtId="1" fontId="14" fillId="0" borderId="5" xfId="0" applyNumberFormat="1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left" vertical="top" wrapText="1"/>
    </xf>
    <xf numFmtId="1" fontId="22" fillId="15" borderId="5" xfId="0" applyNumberFormat="1" applyFont="1" applyFill="1" applyBorder="1" applyAlignment="1">
      <alignment horizontal="center" vertical="top"/>
    </xf>
    <xf numFmtId="1" fontId="8" fillId="16" borderId="1" xfId="0" applyNumberFormat="1" applyFont="1" applyFill="1" applyBorder="1" applyAlignment="1">
      <alignment horizontal="center" vertical="top"/>
    </xf>
    <xf numFmtId="4" fontId="7" fillId="11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Fill="1" applyBorder="1" applyAlignment="1">
      <alignment horizontal="left" vertical="top"/>
    </xf>
    <xf numFmtId="1" fontId="11" fillId="0" borderId="1" xfId="0" applyNumberFormat="1" applyFont="1" applyFill="1" applyBorder="1" applyAlignment="1">
      <alignment horizontal="left" vertical="top"/>
    </xf>
    <xf numFmtId="1" fontId="8" fillId="0" borderId="1" xfId="0" applyNumberFormat="1" applyFont="1" applyFill="1" applyBorder="1" applyAlignment="1">
      <alignment horizontal="left" vertical="top"/>
    </xf>
    <xf numFmtId="4" fontId="23" fillId="0" borderId="1" xfId="0" applyNumberFormat="1" applyFont="1" applyFill="1" applyBorder="1" applyAlignment="1">
      <alignment horizontal="left" vertical="top"/>
    </xf>
    <xf numFmtId="4" fontId="11" fillId="2" borderId="0" xfId="0" applyNumberFormat="1" applyFont="1" applyFill="1" applyAlignment="1">
      <alignment vertical="top"/>
    </xf>
    <xf numFmtId="4" fontId="11" fillId="0" borderId="0" xfId="0" applyNumberFormat="1" applyFont="1" applyFill="1" applyAlignment="1">
      <alignment vertical="top"/>
    </xf>
    <xf numFmtId="4" fontId="9" fillId="2" borderId="0" xfId="0" applyNumberFormat="1" applyFont="1" applyFill="1" applyAlignment="1">
      <alignment vertical="top"/>
    </xf>
    <xf numFmtId="4" fontId="11" fillId="11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left" vertical="center"/>
    </xf>
    <xf numFmtId="1" fontId="21" fillId="15" borderId="6" xfId="0" applyNumberFormat="1" applyFont="1" applyFill="1" applyBorder="1" applyAlignment="1">
      <alignment vertical="top"/>
    </xf>
    <xf numFmtId="1" fontId="21" fillId="15" borderId="5" xfId="0" applyNumberFormat="1" applyFont="1" applyFill="1" applyBorder="1" applyAlignment="1">
      <alignment vertical="top"/>
    </xf>
    <xf numFmtId="4" fontId="7" fillId="10" borderId="6" xfId="0" applyNumberFormat="1" applyFont="1" applyFill="1" applyBorder="1" applyAlignment="1">
      <alignment vertical="top"/>
    </xf>
    <xf numFmtId="4" fontId="7" fillId="10" borderId="5" xfId="0" applyNumberFormat="1" applyFont="1" applyFill="1" applyBorder="1" applyAlignment="1">
      <alignment vertical="top"/>
    </xf>
    <xf numFmtId="4" fontId="7" fillId="10" borderId="7" xfId="0" applyNumberFormat="1" applyFont="1" applyFill="1" applyBorder="1" applyAlignment="1">
      <alignment vertical="top"/>
    </xf>
    <xf numFmtId="4" fontId="7" fillId="6" borderId="6" xfId="0" applyNumberFormat="1" applyFont="1" applyFill="1" applyBorder="1" applyAlignment="1">
      <alignment vertical="top"/>
    </xf>
    <xf numFmtId="4" fontId="7" fillId="6" borderId="5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4" fontId="11" fillId="18" borderId="1" xfId="0" applyNumberFormat="1" applyFont="1" applyFill="1" applyBorder="1" applyAlignment="1">
      <alignment horizontal="left" vertical="top" wrapText="1"/>
    </xf>
    <xf numFmtId="4" fontId="11" fillId="24" borderId="1" xfId="0" applyNumberFormat="1" applyFont="1" applyFill="1" applyBorder="1" applyAlignment="1">
      <alignment horizontal="right" vertical="top"/>
    </xf>
    <xf numFmtId="4" fontId="11" fillId="25" borderId="1" xfId="0" applyNumberFormat="1" applyFont="1" applyFill="1" applyBorder="1" applyAlignment="1">
      <alignment horizontal="right" vertical="top"/>
    </xf>
    <xf numFmtId="43" fontId="11" fillId="2" borderId="0" xfId="1" applyFont="1" applyFill="1" applyAlignment="1">
      <alignment vertical="top"/>
    </xf>
    <xf numFmtId="43" fontId="11" fillId="3" borderId="1" xfId="1" applyFont="1" applyFill="1" applyBorder="1" applyAlignment="1">
      <alignment horizontal="right" vertical="top"/>
    </xf>
    <xf numFmtId="43" fontId="11" fillId="0" borderId="1" xfId="1" applyFont="1" applyFill="1" applyBorder="1" applyAlignment="1">
      <alignment horizontal="right" vertical="top"/>
    </xf>
    <xf numFmtId="43" fontId="11" fillId="4" borderId="1" xfId="1" applyFont="1" applyFill="1" applyBorder="1" applyAlignment="1">
      <alignment horizontal="right" vertical="top"/>
    </xf>
    <xf numFmtId="43" fontId="11" fillId="5" borderId="1" xfId="1" applyFont="1" applyFill="1" applyBorder="1" applyAlignment="1">
      <alignment horizontal="right" vertical="top"/>
    </xf>
    <xf numFmtId="43" fontId="11" fillId="0" borderId="1" xfId="1" applyFont="1" applyFill="1" applyBorder="1" applyAlignment="1">
      <alignment horizontal="right" vertical="top" wrapText="1"/>
    </xf>
    <xf numFmtId="4" fontId="7" fillId="7" borderId="1" xfId="0" applyNumberFormat="1" applyFont="1" applyFill="1" applyBorder="1" applyAlignment="1">
      <alignment horizontal="right" vertical="top" wrapText="1"/>
    </xf>
    <xf numFmtId="0" fontId="0" fillId="0" borderId="10" xfId="0" applyBorder="1" applyAlignment="1">
      <alignment horizontal="center" vertical="center"/>
    </xf>
    <xf numFmtId="164" fontId="27" fillId="0" borderId="1" xfId="0" applyNumberFormat="1" applyFont="1" applyFill="1" applyBorder="1" applyAlignment="1">
      <alignment vertical="top" wrapText="1"/>
    </xf>
    <xf numFmtId="4" fontId="11" fillId="0" borderId="1" xfId="1" applyNumberFormat="1" applyFont="1" applyFill="1" applyBorder="1" applyAlignment="1">
      <alignment horizontal="right" vertical="top"/>
    </xf>
    <xf numFmtId="4" fontId="16" fillId="11" borderId="1" xfId="0" applyNumberFormat="1" applyFont="1" applyFill="1" applyBorder="1" applyAlignment="1">
      <alignment horizontal="left" vertical="top"/>
    </xf>
    <xf numFmtId="4" fontId="17" fillId="11" borderId="1" xfId="0" applyNumberFormat="1" applyFont="1" applyFill="1" applyBorder="1" applyAlignment="1">
      <alignment horizontal="left" vertical="top" wrapText="1"/>
    </xf>
    <xf numFmtId="4" fontId="11" fillId="26" borderId="1" xfId="0" applyNumberFormat="1" applyFont="1" applyFill="1" applyBorder="1" applyAlignment="1">
      <alignment horizontal="right" vertical="top"/>
    </xf>
    <xf numFmtId="0" fontId="17" fillId="11" borderId="2" xfId="0" applyNumberFormat="1" applyFont="1" applyFill="1" applyBorder="1" applyAlignment="1">
      <alignment horizontal="center" vertical="center"/>
    </xf>
    <xf numFmtId="4" fontId="17" fillId="11" borderId="2" xfId="0" applyNumberFormat="1" applyFont="1" applyFill="1" applyBorder="1" applyAlignment="1">
      <alignment horizontal="center" vertical="center"/>
    </xf>
    <xf numFmtId="0" fontId="17" fillId="11" borderId="1" xfId="0" applyNumberFormat="1" applyFont="1" applyFill="1" applyBorder="1" applyAlignment="1">
      <alignment horizontal="center" vertical="center"/>
    </xf>
    <xf numFmtId="1" fontId="11" fillId="16" borderId="1" xfId="0" applyNumberFormat="1" applyFont="1" applyFill="1" applyBorder="1" applyAlignment="1">
      <alignment horizontal="center" vertical="center"/>
    </xf>
    <xf numFmtId="49" fontId="8" fillId="11" borderId="1" xfId="0" applyNumberFormat="1" applyFont="1" applyFill="1" applyBorder="1" applyAlignment="1">
      <alignment horizontal="center" vertical="top"/>
    </xf>
    <xf numFmtId="49" fontId="11" fillId="11" borderId="5" xfId="0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vertical="top" wrapText="1"/>
    </xf>
    <xf numFmtId="4" fontId="11" fillId="11" borderId="1" xfId="0" applyNumberFormat="1" applyFont="1" applyFill="1" applyBorder="1" applyAlignment="1">
      <alignment horizontal="center" vertical="center"/>
    </xf>
    <xf numFmtId="1" fontId="21" fillId="15" borderId="1" xfId="0" applyNumberFormat="1" applyFont="1" applyFill="1" applyBorder="1" applyAlignment="1">
      <alignment horizontal="left" vertical="top"/>
    </xf>
    <xf numFmtId="1" fontId="12" fillId="0" borderId="2" xfId="0" applyNumberFormat="1" applyFont="1" applyFill="1" applyBorder="1" applyAlignment="1">
      <alignment horizontal="center" vertical="center"/>
    </xf>
    <xf numFmtId="4" fontId="16" fillId="10" borderId="1" xfId="0" applyNumberFormat="1" applyFont="1" applyFill="1" applyBorder="1" applyAlignment="1">
      <alignment horizontal="left" vertical="top"/>
    </xf>
    <xf numFmtId="0" fontId="11" fillId="11" borderId="1" xfId="0" applyNumberFormat="1" applyFont="1" applyFill="1" applyBorder="1" applyAlignment="1">
      <alignment horizontal="center" vertical="center"/>
    </xf>
    <xf numFmtId="1" fontId="11" fillId="16" borderId="1" xfId="0" applyNumberFormat="1" applyFont="1" applyFill="1" applyBorder="1" applyAlignment="1">
      <alignment horizontal="center" vertical="top"/>
    </xf>
    <xf numFmtId="1" fontId="12" fillId="0" borderId="2" xfId="0" applyNumberFormat="1" applyFont="1" applyFill="1" applyBorder="1" applyAlignment="1">
      <alignment horizontal="center" vertical="top"/>
    </xf>
    <xf numFmtId="1" fontId="11" fillId="16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 wrapText="1"/>
    </xf>
    <xf numFmtId="1" fontId="21" fillId="15" borderId="1" xfId="0" applyNumberFormat="1" applyFont="1" applyFill="1" applyBorder="1" applyAlignment="1">
      <alignment horizontal="left" vertical="top"/>
    </xf>
    <xf numFmtId="4" fontId="23" fillId="27" borderId="1" xfId="0" applyNumberFormat="1" applyFont="1" applyFill="1" applyBorder="1" applyAlignment="1">
      <alignment horizontal="left" vertical="top"/>
    </xf>
    <xf numFmtId="4" fontId="7" fillId="28" borderId="1" xfId="0" applyNumberFormat="1" applyFont="1" applyFill="1" applyBorder="1" applyAlignment="1">
      <alignment horizontal="right" vertical="top"/>
    </xf>
    <xf numFmtId="4" fontId="7" fillId="26" borderId="1" xfId="0" applyNumberFormat="1" applyFont="1" applyFill="1" applyBorder="1" applyAlignment="1">
      <alignment horizontal="right" vertical="top"/>
    </xf>
    <xf numFmtId="4" fontId="7" fillId="19" borderId="1" xfId="0" applyNumberFormat="1" applyFont="1" applyFill="1" applyBorder="1" applyAlignment="1">
      <alignment horizontal="right" vertical="top"/>
    </xf>
    <xf numFmtId="4" fontId="17" fillId="11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49" fontId="11" fillId="11" borderId="1" xfId="0" applyNumberFormat="1" applyFont="1" applyFill="1" applyBorder="1" applyAlignment="1">
      <alignment horizontal="center" vertical="center"/>
    </xf>
    <xf numFmtId="1" fontId="19" fillId="12" borderId="1" xfId="0" applyNumberFormat="1" applyFont="1" applyFill="1" applyBorder="1" applyAlignment="1">
      <alignment horizontal="center" vertical="top"/>
    </xf>
    <xf numFmtId="1" fontId="11" fillId="16" borderId="1" xfId="0" applyNumberFormat="1" applyFont="1" applyFill="1" applyBorder="1" applyAlignment="1">
      <alignment horizontal="center" vertical="center"/>
    </xf>
    <xf numFmtId="1" fontId="21" fillId="15" borderId="1" xfId="0" applyNumberFormat="1" applyFont="1" applyFill="1" applyBorder="1" applyAlignment="1">
      <alignment vertical="top"/>
    </xf>
    <xf numFmtId="1" fontId="22" fillId="15" borderId="1" xfId="0" applyNumberFormat="1" applyFont="1" applyFill="1" applyBorder="1" applyAlignment="1">
      <alignment horizontal="center" vertical="top"/>
    </xf>
    <xf numFmtId="1" fontId="11" fillId="16" borderId="1" xfId="0" applyNumberFormat="1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top"/>
    </xf>
    <xf numFmtId="4" fontId="11" fillId="11" borderId="1" xfId="0" applyNumberFormat="1" applyFont="1" applyFill="1" applyBorder="1" applyAlignment="1">
      <alignment vertical="top" wrapText="1"/>
    </xf>
    <xf numFmtId="4" fontId="7" fillId="29" borderId="1" xfId="0" applyNumberFormat="1" applyFont="1" applyFill="1" applyBorder="1" applyAlignment="1">
      <alignment vertical="top"/>
    </xf>
    <xf numFmtId="4" fontId="7" fillId="29" borderId="1" xfId="0" applyNumberFormat="1" applyFont="1" applyFill="1" applyBorder="1" applyAlignment="1">
      <alignment horizontal="right" vertical="top"/>
    </xf>
    <xf numFmtId="4" fontId="7" fillId="28" borderId="1" xfId="0" applyNumberFormat="1" applyFont="1" applyFill="1" applyBorder="1" applyAlignment="1">
      <alignment vertical="top"/>
    </xf>
    <xf numFmtId="4" fontId="21" fillId="12" borderId="1" xfId="0" applyNumberFormat="1" applyFont="1" applyFill="1" applyBorder="1" applyAlignment="1">
      <alignment horizontal="left" vertical="top"/>
    </xf>
    <xf numFmtId="4" fontId="11" fillId="2" borderId="1" xfId="0" applyNumberFormat="1" applyFont="1" applyFill="1" applyBorder="1" applyAlignment="1">
      <alignment vertical="top"/>
    </xf>
    <xf numFmtId="4" fontId="11" fillId="2" borderId="1" xfId="0" applyNumberFormat="1" applyFont="1" applyFill="1" applyBorder="1" applyAlignment="1">
      <alignment horizontal="right" vertical="top"/>
    </xf>
    <xf numFmtId="4" fontId="11" fillId="30" borderId="1" xfId="0" applyNumberFormat="1" applyFont="1" applyFill="1" applyBorder="1" applyAlignment="1">
      <alignment horizontal="right" vertical="top"/>
    </xf>
    <xf numFmtId="4" fontId="7" fillId="14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Fill="1" applyBorder="1" applyAlignment="1">
      <alignment horizontal="center" vertical="top" wrapText="1"/>
    </xf>
    <xf numFmtId="1" fontId="21" fillId="15" borderId="1" xfId="0" applyNumberFormat="1" applyFont="1" applyFill="1" applyBorder="1" applyAlignment="1">
      <alignment horizontal="left" vertical="top"/>
    </xf>
    <xf numFmtId="4" fontId="7" fillId="11" borderId="1" xfId="0" applyNumberFormat="1" applyFont="1" applyFill="1" applyBorder="1" applyAlignment="1">
      <alignment vertical="center"/>
    </xf>
    <xf numFmtId="1" fontId="13" fillId="18" borderId="1" xfId="0" applyNumberFormat="1" applyFont="1" applyFill="1" applyBorder="1" applyAlignment="1">
      <alignment vertical="center"/>
    </xf>
    <xf numFmtId="0" fontId="11" fillId="11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right" vertical="top" indent="1"/>
    </xf>
    <xf numFmtId="4" fontId="11" fillId="4" borderId="1" xfId="0" applyNumberFormat="1" applyFont="1" applyFill="1" applyBorder="1" applyAlignment="1">
      <alignment vertical="top"/>
    </xf>
    <xf numFmtId="4" fontId="28" fillId="0" borderId="1" xfId="0" applyNumberFormat="1" applyFont="1" applyFill="1" applyBorder="1" applyAlignment="1">
      <alignment horizontal="left" vertical="top" wrapText="1"/>
    </xf>
    <xf numFmtId="4" fontId="29" fillId="2" borderId="1" xfId="0" applyNumberFormat="1" applyFont="1" applyFill="1" applyBorder="1" applyAlignment="1">
      <alignment horizontal="left" vertical="top" wrapText="1"/>
    </xf>
    <xf numFmtId="4" fontId="30" fillId="2" borderId="1" xfId="0" applyNumberFormat="1" applyFont="1" applyFill="1" applyBorder="1" applyAlignment="1">
      <alignment horizontal="left" vertical="top" wrapText="1"/>
    </xf>
    <xf numFmtId="1" fontId="7" fillId="8" borderId="1" xfId="0" applyNumberFormat="1" applyFont="1" applyFill="1" applyBorder="1" applyAlignment="1">
      <alignment horizontal="left" vertical="top"/>
    </xf>
    <xf numFmtId="4" fontId="11" fillId="2" borderId="12" xfId="0" applyNumberFormat="1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" fontId="21" fillId="15" borderId="1" xfId="0" applyNumberFormat="1" applyFont="1" applyFill="1" applyBorder="1" applyAlignment="1">
      <alignment horizontal="left" vertical="top"/>
    </xf>
    <xf numFmtId="1" fontId="11" fillId="16" borderId="2" xfId="0" applyNumberFormat="1" applyFont="1" applyFill="1" applyBorder="1" applyAlignment="1">
      <alignment horizontal="center" vertical="center"/>
    </xf>
    <xf numFmtId="1" fontId="11" fillId="16" borderId="3" xfId="0" applyNumberFormat="1" applyFont="1" applyFill="1" applyBorder="1" applyAlignment="1">
      <alignment horizontal="center" vertical="center"/>
    </xf>
    <xf numFmtId="1" fontId="11" fillId="16" borderId="4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left" vertical="top"/>
    </xf>
    <xf numFmtId="1" fontId="11" fillId="16" borderId="8" xfId="0" applyNumberFormat="1" applyFont="1" applyFill="1" applyBorder="1" applyAlignment="1">
      <alignment horizontal="center" vertical="center"/>
    </xf>
    <xf numFmtId="1" fontId="11" fillId="16" borderId="9" xfId="0" applyNumberFormat="1" applyFont="1" applyFill="1" applyBorder="1" applyAlignment="1">
      <alignment horizontal="center" vertical="center"/>
    </xf>
    <xf numFmtId="1" fontId="11" fillId="16" borderId="13" xfId="0" applyNumberFormat="1" applyFont="1" applyFill="1" applyBorder="1" applyAlignment="1">
      <alignment horizontal="center" vertical="center"/>
    </xf>
    <xf numFmtId="1" fontId="11" fillId="16" borderId="14" xfId="0" applyNumberFormat="1" applyFont="1" applyFill="1" applyBorder="1" applyAlignment="1">
      <alignment horizontal="center" vertical="center"/>
    </xf>
    <xf numFmtId="1" fontId="11" fillId="16" borderId="10" xfId="0" applyNumberFormat="1" applyFont="1" applyFill="1" applyBorder="1" applyAlignment="1">
      <alignment horizontal="center" vertical="center"/>
    </xf>
    <xf numFmtId="1" fontId="11" fillId="16" borderId="11" xfId="0" applyNumberFormat="1" applyFont="1" applyFill="1" applyBorder="1" applyAlignment="1">
      <alignment horizontal="center" vertical="center"/>
    </xf>
    <xf numFmtId="1" fontId="13" fillId="18" borderId="8" xfId="0" applyNumberFormat="1" applyFont="1" applyFill="1" applyBorder="1" applyAlignment="1">
      <alignment horizontal="center" vertical="center"/>
    </xf>
    <xf numFmtId="1" fontId="13" fillId="18" borderId="9" xfId="0" applyNumberFormat="1" applyFont="1" applyFill="1" applyBorder="1" applyAlignment="1">
      <alignment horizontal="center" vertical="center"/>
    </xf>
    <xf numFmtId="1" fontId="13" fillId="18" borderId="13" xfId="0" applyNumberFormat="1" applyFont="1" applyFill="1" applyBorder="1" applyAlignment="1">
      <alignment horizontal="center" vertical="center"/>
    </xf>
    <xf numFmtId="1" fontId="13" fillId="18" borderId="14" xfId="0" applyNumberFormat="1" applyFont="1" applyFill="1" applyBorder="1" applyAlignment="1">
      <alignment horizontal="center" vertical="center"/>
    </xf>
    <xf numFmtId="1" fontId="13" fillId="18" borderId="10" xfId="0" applyNumberFormat="1" applyFont="1" applyFill="1" applyBorder="1" applyAlignment="1">
      <alignment horizontal="center" vertical="center"/>
    </xf>
    <xf numFmtId="1" fontId="13" fillId="18" borderId="11" xfId="0" applyNumberFormat="1" applyFont="1" applyFill="1" applyBorder="1" applyAlignment="1">
      <alignment horizontal="center" vertical="center"/>
    </xf>
    <xf numFmtId="1" fontId="19" fillId="12" borderId="2" xfId="0" applyNumberFormat="1" applyFont="1" applyFill="1" applyBorder="1" applyAlignment="1">
      <alignment horizontal="center" vertical="center"/>
    </xf>
    <xf numFmtId="1" fontId="19" fillId="12" borderId="3" xfId="0" applyNumberFormat="1" applyFont="1" applyFill="1" applyBorder="1" applyAlignment="1">
      <alignment horizontal="center" vertical="center"/>
    </xf>
    <xf numFmtId="1" fontId="19" fillId="12" borderId="4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left" vertical="top"/>
    </xf>
    <xf numFmtId="4" fontId="16" fillId="6" borderId="7" xfId="0" applyNumberFormat="1" applyFont="1" applyFill="1" applyBorder="1" applyAlignment="1">
      <alignment horizontal="left" vertical="top"/>
    </xf>
    <xf numFmtId="4" fontId="16" fillId="6" borderId="5" xfId="0" applyNumberFormat="1" applyFont="1" applyFill="1" applyBorder="1" applyAlignment="1">
      <alignment horizontal="left" vertical="top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4" fontId="7" fillId="6" borderId="6" xfId="0" applyNumberFormat="1" applyFont="1" applyFill="1" applyBorder="1" applyAlignment="1">
      <alignment horizontal="left" vertical="top"/>
    </xf>
    <xf numFmtId="4" fontId="7" fillId="6" borderId="7" xfId="0" applyNumberFormat="1" applyFont="1" applyFill="1" applyBorder="1" applyAlignment="1">
      <alignment horizontal="left" vertical="top"/>
    </xf>
    <xf numFmtId="4" fontId="7" fillId="6" borderId="5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11" borderId="2" xfId="0" applyNumberFormat="1" applyFont="1" applyFill="1" applyBorder="1" applyAlignment="1">
      <alignment horizontal="center" vertical="center"/>
    </xf>
    <xf numFmtId="0" fontId="11" fillId="11" borderId="3" xfId="0" applyNumberFormat="1" applyFont="1" applyFill="1" applyBorder="1" applyAlignment="1">
      <alignment horizontal="center" vertical="center"/>
    </xf>
    <xf numFmtId="0" fontId="11" fillId="11" borderId="4" xfId="0" applyNumberFormat="1" applyFont="1" applyFill="1" applyBorder="1" applyAlignment="1">
      <alignment horizontal="center" vertical="center"/>
    </xf>
    <xf numFmtId="4" fontId="7" fillId="11" borderId="2" xfId="0" applyNumberFormat="1" applyFont="1" applyFill="1" applyBorder="1" applyAlignment="1">
      <alignment horizontal="center" vertical="center"/>
    </xf>
    <xf numFmtId="4" fontId="7" fillId="11" borderId="3" xfId="0" applyNumberFormat="1" applyFont="1" applyFill="1" applyBorder="1" applyAlignment="1">
      <alignment horizontal="center" vertical="center"/>
    </xf>
    <xf numFmtId="4" fontId="7" fillId="11" borderId="4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top" wrapText="1"/>
    </xf>
    <xf numFmtId="4" fontId="16" fillId="10" borderId="6" xfId="0" applyNumberFormat="1" applyFont="1" applyFill="1" applyBorder="1" applyAlignment="1">
      <alignment horizontal="left" vertical="top"/>
    </xf>
    <xf numFmtId="4" fontId="16" fillId="10" borderId="7" xfId="0" applyNumberFormat="1" applyFont="1" applyFill="1" applyBorder="1" applyAlignment="1">
      <alignment horizontal="left" vertical="top"/>
    </xf>
    <xf numFmtId="4" fontId="16" fillId="10" borderId="5" xfId="0" applyNumberFormat="1" applyFont="1" applyFill="1" applyBorder="1" applyAlignment="1">
      <alignment horizontal="left" vertical="top"/>
    </xf>
    <xf numFmtId="1" fontId="12" fillId="0" borderId="3" xfId="0" applyNumberFormat="1" applyFont="1" applyFill="1" applyBorder="1" applyAlignment="1">
      <alignment horizontal="center" vertical="center"/>
    </xf>
    <xf numFmtId="4" fontId="16" fillId="10" borderId="1" xfId="0" applyNumberFormat="1" applyFont="1" applyFill="1" applyBorder="1" applyAlignment="1">
      <alignment horizontal="left" vertical="top"/>
    </xf>
    <xf numFmtId="4" fontId="24" fillId="4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center" vertical="top" wrapText="1"/>
    </xf>
    <xf numFmtId="1" fontId="8" fillId="0" borderId="4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7" fillId="3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24" fillId="5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21" fillId="15" borderId="6" xfId="0" applyNumberFormat="1" applyFont="1" applyFill="1" applyBorder="1" applyAlignment="1">
      <alignment horizontal="left" vertical="top"/>
    </xf>
    <xf numFmtId="1" fontId="21" fillId="15" borderId="7" xfId="0" applyNumberFormat="1" applyFont="1" applyFill="1" applyBorder="1" applyAlignment="1">
      <alignment horizontal="left" vertical="top"/>
    </xf>
    <xf numFmtId="1" fontId="21" fillId="15" borderId="5" xfId="0" applyNumberFormat="1" applyFont="1" applyFill="1" applyBorder="1" applyAlignment="1">
      <alignment horizontal="left" vertical="top"/>
    </xf>
    <xf numFmtId="4" fontId="16" fillId="29" borderId="1" xfId="0" applyNumberFormat="1" applyFont="1" applyFill="1" applyBorder="1" applyAlignment="1">
      <alignment horizontal="left" vertical="top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11" borderId="2" xfId="0" applyNumberFormat="1" applyFont="1" applyFill="1" applyBorder="1" applyAlignment="1">
      <alignment horizontal="left" vertical="center" indent="1"/>
    </xf>
    <xf numFmtId="0" fontId="11" fillId="11" borderId="3" xfId="0" applyNumberFormat="1" applyFont="1" applyFill="1" applyBorder="1" applyAlignment="1">
      <alignment horizontal="left" vertical="center" indent="1"/>
    </xf>
    <xf numFmtId="0" fontId="11" fillId="11" borderId="4" xfId="0" applyNumberFormat="1" applyFont="1" applyFill="1" applyBorder="1" applyAlignment="1">
      <alignment horizontal="left" vertical="center" indent="1"/>
    </xf>
    <xf numFmtId="4" fontId="7" fillId="31" borderId="1" xfId="0" applyNumberFormat="1" applyFont="1" applyFill="1" applyBorder="1" applyAlignment="1">
      <alignment horizontal="left" vertical="top"/>
    </xf>
    <xf numFmtId="1" fontId="13" fillId="18" borderId="2" xfId="0" applyNumberFormat="1" applyFont="1" applyFill="1" applyBorder="1" applyAlignment="1">
      <alignment horizontal="center" vertical="center"/>
    </xf>
    <xf numFmtId="1" fontId="13" fillId="18" borderId="3" xfId="0" applyNumberFormat="1" applyFont="1" applyFill="1" applyBorder="1" applyAlignment="1">
      <alignment horizontal="center" vertical="center"/>
    </xf>
    <xf numFmtId="1" fontId="13" fillId="18" borderId="4" xfId="0" applyNumberFormat="1" applyFont="1" applyFill="1" applyBorder="1" applyAlignment="1">
      <alignment horizontal="center" vertical="center"/>
    </xf>
    <xf numFmtId="0" fontId="11" fillId="11" borderId="1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FF"/>
      <rgbColor rgb="00CCFF6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74F9FC"/>
      <color rgb="FFCCFF33"/>
      <color rgb="FF74E5FC"/>
      <color rgb="FF4BDEFB"/>
      <color rgb="FFB7ECFF"/>
      <color rgb="FFC5F0FF"/>
      <color rgb="FFA7E8FF"/>
      <color rgb="FFCCFFCC"/>
      <color rgb="FF9B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109"/>
  <sheetViews>
    <sheetView view="pageBreakPreview" topLeftCell="A9" zoomScale="25" zoomScaleNormal="30" zoomScaleSheetLayoutView="25" zoomScalePageLayoutView="10" workbookViewId="0">
      <pane xSplit="5" ySplit="3" topLeftCell="F101" activePane="bottomRight" state="frozen"/>
      <selection activeCell="A9" sqref="A9"/>
      <selection pane="topRight" activeCell="F9" sqref="F9"/>
      <selection pane="bottomLeft" activeCell="A12" sqref="A12"/>
      <selection pane="bottomRight" activeCell="F101" sqref="F101"/>
    </sheetView>
  </sheetViews>
  <sheetFormatPr defaultColWidth="8.42578125" defaultRowHeight="26.45" customHeight="1" x14ac:dyDescent="0.6"/>
  <cols>
    <col min="1" max="1" width="39.140625" style="15" customWidth="1"/>
    <col min="2" max="2" width="35.140625" style="1" customWidth="1"/>
    <col min="3" max="3" width="20" style="2" customWidth="1"/>
    <col min="4" max="4" width="5" style="31" hidden="1" customWidth="1"/>
    <col min="5" max="5" width="153.5703125" style="1" customWidth="1"/>
    <col min="6" max="6" width="66.42578125" style="3" customWidth="1"/>
    <col min="7" max="7" width="62.28515625" style="1" customWidth="1"/>
    <col min="8" max="8" width="69.7109375" style="1" customWidth="1"/>
    <col min="9" max="9" width="56.85546875" style="1" customWidth="1"/>
    <col min="10" max="10" width="69.7109375" style="4" customWidth="1"/>
    <col min="11" max="11" width="66.7109375" style="1" customWidth="1"/>
    <col min="12" max="12" width="67.28515625" style="1" customWidth="1"/>
    <col min="13" max="13" width="48.42578125" style="1" customWidth="1"/>
    <col min="14" max="14" width="65.85546875" style="5" customWidth="1"/>
    <col min="15" max="15" width="65.5703125" style="6" customWidth="1"/>
    <col min="16" max="16" width="71.42578125" style="6" customWidth="1"/>
    <col min="17" max="17" width="52" style="6" customWidth="1"/>
    <col min="18" max="18" width="35.42578125" style="6" hidden="1" customWidth="1"/>
    <col min="19" max="19" width="37.7109375" style="6" hidden="1" customWidth="1"/>
    <col min="20" max="20" width="60.140625" style="6" customWidth="1"/>
    <col min="21" max="21" width="60.42578125" style="7" customWidth="1"/>
    <col min="22" max="22" width="18.42578125" style="7" customWidth="1"/>
    <col min="23" max="23" width="20.42578125" style="7" customWidth="1"/>
    <col min="24" max="24" width="21.42578125" style="7" customWidth="1"/>
    <col min="25" max="25" width="18.42578125" style="7" customWidth="1"/>
    <col min="26" max="26" width="17.42578125" style="7" customWidth="1"/>
    <col min="27" max="32" width="8.42578125" style="7" customWidth="1"/>
    <col min="33" max="39" width="8.42578125" style="6" customWidth="1"/>
    <col min="40" max="247" width="8.42578125" style="1" customWidth="1"/>
  </cols>
  <sheetData>
    <row r="1" spans="1:40" ht="12.75" customHeight="1" x14ac:dyDescent="0.4">
      <c r="A1" s="8"/>
      <c r="B1" s="8"/>
      <c r="C1" s="8"/>
      <c r="D1" s="2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40" ht="12.75" customHeight="1" x14ac:dyDescent="0.4">
      <c r="A2" s="8"/>
      <c r="B2" s="8"/>
      <c r="C2" s="8"/>
      <c r="D2" s="2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40" ht="29.25" customHeight="1" x14ac:dyDescent="0.4">
      <c r="A3" s="9"/>
      <c r="B3" s="9"/>
      <c r="C3" s="10"/>
      <c r="D3" s="30"/>
      <c r="E3" s="9"/>
      <c r="F3" s="11"/>
      <c r="G3" s="9"/>
      <c r="H3" s="9"/>
      <c r="I3" s="9"/>
      <c r="J3" s="11"/>
      <c r="K3" s="9"/>
      <c r="L3" s="9"/>
      <c r="M3" s="9"/>
      <c r="N3" s="12"/>
    </row>
    <row r="4" spans="1:40" ht="45.2" customHeight="1" x14ac:dyDescent="0.4">
      <c r="A4" s="9"/>
      <c r="B4" s="9"/>
      <c r="C4" s="10"/>
      <c r="D4" s="30"/>
      <c r="E4" s="9"/>
      <c r="F4" s="11"/>
      <c r="G4" s="9"/>
      <c r="H4" s="9"/>
      <c r="I4" s="9"/>
      <c r="J4" s="11"/>
      <c r="K4" s="9"/>
      <c r="L4" s="9"/>
      <c r="M4" s="9"/>
      <c r="N4" s="12"/>
    </row>
    <row r="5" spans="1:40" ht="54.75" customHeight="1" x14ac:dyDescent="0.4">
      <c r="A5" s="238" t="s">
        <v>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</row>
    <row r="6" spans="1:40" ht="59.25" customHeight="1" x14ac:dyDescent="0.4">
      <c r="A6" s="238" t="s">
        <v>103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</row>
    <row r="7" spans="1:40" s="15" customFormat="1" ht="57" customHeight="1" x14ac:dyDescent="0.2">
      <c r="A7" s="238" t="s">
        <v>64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4"/>
      <c r="AH7" s="14"/>
      <c r="AI7" s="14"/>
      <c r="AJ7" s="14"/>
      <c r="AK7" s="14"/>
      <c r="AL7" s="14"/>
      <c r="AM7" s="14"/>
    </row>
    <row r="8" spans="1:40" ht="24.4" customHeight="1" x14ac:dyDescent="0.4">
      <c r="A8" s="32"/>
      <c r="B8" s="42"/>
      <c r="C8" s="43"/>
      <c r="D8" s="44"/>
      <c r="E8" s="42"/>
      <c r="F8" s="45"/>
      <c r="G8" s="42"/>
      <c r="H8" s="42"/>
      <c r="I8" s="42"/>
      <c r="J8" s="45"/>
      <c r="K8" s="42"/>
      <c r="L8" s="42"/>
      <c r="M8" s="42"/>
      <c r="N8" s="46"/>
      <c r="O8" s="46"/>
      <c r="P8" s="46"/>
      <c r="Q8" s="46"/>
      <c r="R8" s="46"/>
      <c r="S8" s="47"/>
      <c r="T8" s="48" t="s">
        <v>1</v>
      </c>
    </row>
    <row r="9" spans="1:40" ht="69.400000000000006" customHeight="1" x14ac:dyDescent="0.4">
      <c r="A9" s="239" t="s">
        <v>2</v>
      </c>
      <c r="B9" s="240" t="s">
        <v>3</v>
      </c>
      <c r="C9" s="243" t="s">
        <v>4</v>
      </c>
      <c r="D9" s="244"/>
      <c r="E9" s="247" t="s">
        <v>5</v>
      </c>
      <c r="F9" s="248" t="s">
        <v>29</v>
      </c>
      <c r="G9" s="221" t="s">
        <v>6</v>
      </c>
      <c r="H9" s="221"/>
      <c r="I9" s="221"/>
      <c r="J9" s="237" t="s">
        <v>7</v>
      </c>
      <c r="K9" s="221" t="s">
        <v>6</v>
      </c>
      <c r="L9" s="221"/>
      <c r="M9" s="221"/>
      <c r="N9" s="250" t="s">
        <v>8</v>
      </c>
      <c r="O9" s="221" t="s">
        <v>6</v>
      </c>
      <c r="P9" s="221"/>
      <c r="Q9" s="221"/>
      <c r="R9" s="231" t="s">
        <v>30</v>
      </c>
      <c r="S9" s="231"/>
      <c r="T9" s="249" t="s">
        <v>9</v>
      </c>
    </row>
    <row r="10" spans="1:40" ht="123" customHeight="1" x14ac:dyDescent="0.4">
      <c r="A10" s="239"/>
      <c r="B10" s="241"/>
      <c r="C10" s="243"/>
      <c r="D10" s="245"/>
      <c r="E10" s="247"/>
      <c r="F10" s="248"/>
      <c r="G10" s="221" t="s">
        <v>10</v>
      </c>
      <c r="H10" s="221" t="s">
        <v>11</v>
      </c>
      <c r="I10" s="221" t="s">
        <v>12</v>
      </c>
      <c r="J10" s="237"/>
      <c r="K10" s="221" t="s">
        <v>10</v>
      </c>
      <c r="L10" s="221" t="s">
        <v>13</v>
      </c>
      <c r="M10" s="221" t="s">
        <v>14</v>
      </c>
      <c r="N10" s="250"/>
      <c r="O10" s="221" t="s">
        <v>10</v>
      </c>
      <c r="P10" s="221" t="s">
        <v>13</v>
      </c>
      <c r="Q10" s="221" t="s">
        <v>12</v>
      </c>
      <c r="R10" s="221" t="s">
        <v>19</v>
      </c>
      <c r="S10" s="221" t="s">
        <v>15</v>
      </c>
      <c r="T10" s="249"/>
    </row>
    <row r="11" spans="1:40" s="16" customFormat="1" ht="87" customHeight="1" x14ac:dyDescent="0.4">
      <c r="A11" s="239"/>
      <c r="B11" s="242"/>
      <c r="C11" s="243"/>
      <c r="D11" s="246"/>
      <c r="E11" s="247"/>
      <c r="F11" s="248"/>
      <c r="G11" s="221"/>
      <c r="H11" s="221"/>
      <c r="I11" s="221"/>
      <c r="J11" s="237"/>
      <c r="K11" s="221"/>
      <c r="L11" s="221"/>
      <c r="M11" s="221"/>
      <c r="N11" s="250"/>
      <c r="O11" s="221"/>
      <c r="P11" s="221"/>
      <c r="Q11" s="221"/>
      <c r="R11" s="221"/>
      <c r="S11" s="221"/>
      <c r="T11" s="249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6"/>
      <c r="AH11" s="6"/>
      <c r="AI11" s="6"/>
      <c r="AJ11" s="6"/>
      <c r="AK11" s="6"/>
      <c r="AL11" s="6"/>
      <c r="AM11" s="6"/>
      <c r="AN11" s="1"/>
    </row>
    <row r="12" spans="1:40" s="18" customFormat="1" ht="104.25" customHeight="1" x14ac:dyDescent="0.4">
      <c r="A12" s="33"/>
      <c r="B12" s="49"/>
      <c r="C12" s="50"/>
      <c r="D12" s="51"/>
      <c r="E12" s="52"/>
      <c r="F12" s="53" t="s">
        <v>28</v>
      </c>
      <c r="G12" s="54"/>
      <c r="H12" s="55"/>
      <c r="I12" s="55"/>
      <c r="J12" s="56">
        <f>SUM(K12:M12)</f>
        <v>0</v>
      </c>
      <c r="K12" s="55"/>
      <c r="L12" s="55"/>
      <c r="M12" s="55"/>
      <c r="N12" s="57">
        <f>SUM(O12:Q12)</f>
        <v>0</v>
      </c>
      <c r="O12" s="55"/>
      <c r="P12" s="55"/>
      <c r="Q12" s="58"/>
      <c r="R12" s="55"/>
      <c r="S12" s="55"/>
      <c r="T12" s="55">
        <f>J12-N12</f>
        <v>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7"/>
      <c r="AH12" s="17"/>
      <c r="AI12" s="17"/>
      <c r="AJ12" s="17"/>
      <c r="AK12" s="17"/>
      <c r="AL12" s="17"/>
      <c r="AM12" s="17"/>
    </row>
    <row r="13" spans="1:40" s="18" customFormat="1" ht="57.75" customHeight="1" x14ac:dyDescent="0.4">
      <c r="A13" s="236" t="s">
        <v>32</v>
      </c>
      <c r="B13" s="236"/>
      <c r="C13" s="236"/>
      <c r="D13" s="236"/>
      <c r="E13" s="236"/>
      <c r="F13" s="59">
        <f t="shared" ref="F13:T13" si="0">SUM(F12:F12)</f>
        <v>0</v>
      </c>
      <c r="G13" s="59"/>
      <c r="H13" s="59">
        <f>SUM(H12)</f>
        <v>0</v>
      </c>
      <c r="I13" s="59">
        <f t="shared" si="0"/>
        <v>0</v>
      </c>
      <c r="J13" s="59">
        <f t="shared" si="0"/>
        <v>0</v>
      </c>
      <c r="K13" s="59">
        <f t="shared" si="0"/>
        <v>0</v>
      </c>
      <c r="L13" s="59">
        <f t="shared" si="0"/>
        <v>0</v>
      </c>
      <c r="M13" s="59">
        <f t="shared" si="0"/>
        <v>0</v>
      </c>
      <c r="N13" s="59">
        <f t="shared" si="0"/>
        <v>0</v>
      </c>
      <c r="O13" s="59">
        <f t="shared" si="0"/>
        <v>0</v>
      </c>
      <c r="P13" s="59">
        <f t="shared" si="0"/>
        <v>0</v>
      </c>
      <c r="Q13" s="59">
        <f t="shared" si="0"/>
        <v>0</v>
      </c>
      <c r="R13" s="59">
        <f t="shared" si="0"/>
        <v>0</v>
      </c>
      <c r="S13" s="59">
        <f t="shared" si="0"/>
        <v>0</v>
      </c>
      <c r="T13" s="59">
        <f t="shared" si="0"/>
        <v>0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7"/>
      <c r="AH13" s="17"/>
      <c r="AI13" s="17"/>
      <c r="AJ13" s="17"/>
      <c r="AK13" s="17"/>
      <c r="AL13" s="17"/>
      <c r="AM13" s="17"/>
    </row>
    <row r="14" spans="1:40" s="18" customFormat="1" ht="67.5" customHeight="1" x14ac:dyDescent="0.4">
      <c r="A14" s="33"/>
      <c r="B14" s="49"/>
      <c r="C14" s="50"/>
      <c r="D14" s="51"/>
      <c r="E14" s="52"/>
      <c r="F14" s="53">
        <f>SUM(H14:I14)</f>
        <v>0</v>
      </c>
      <c r="G14" s="54"/>
      <c r="H14" s="55"/>
      <c r="I14" s="55"/>
      <c r="J14" s="56">
        <f>SUM(K14:M14)</f>
        <v>0</v>
      </c>
      <c r="K14" s="55"/>
      <c r="L14" s="55"/>
      <c r="M14" s="55"/>
      <c r="N14" s="57">
        <f>SUM(O14:Q14)</f>
        <v>0</v>
      </c>
      <c r="O14" s="55"/>
      <c r="P14" s="55"/>
      <c r="Q14" s="58"/>
      <c r="R14" s="55"/>
      <c r="S14" s="55"/>
      <c r="T14" s="55">
        <f>J14-N14</f>
        <v>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7"/>
      <c r="AH14" s="17"/>
      <c r="AI14" s="17"/>
      <c r="AJ14" s="17"/>
      <c r="AK14" s="17"/>
      <c r="AL14" s="17"/>
      <c r="AM14" s="17"/>
    </row>
    <row r="15" spans="1:40" s="18" customFormat="1" ht="48.75" customHeight="1" x14ac:dyDescent="0.4">
      <c r="A15" s="236" t="s">
        <v>31</v>
      </c>
      <c r="B15" s="236"/>
      <c r="C15" s="236"/>
      <c r="D15" s="236"/>
      <c r="E15" s="236"/>
      <c r="F15" s="59">
        <f t="shared" ref="F15:T15" si="1">SUM(F14:F14)</f>
        <v>0</v>
      </c>
      <c r="G15" s="59"/>
      <c r="H15" s="59">
        <f>SUM(H14)</f>
        <v>0</v>
      </c>
      <c r="I15" s="59">
        <f t="shared" si="1"/>
        <v>0</v>
      </c>
      <c r="J15" s="59">
        <f t="shared" si="1"/>
        <v>0</v>
      </c>
      <c r="K15" s="59">
        <f t="shared" si="1"/>
        <v>0</v>
      </c>
      <c r="L15" s="59">
        <f t="shared" si="1"/>
        <v>0</v>
      </c>
      <c r="M15" s="59">
        <f t="shared" si="1"/>
        <v>0</v>
      </c>
      <c r="N15" s="59">
        <f t="shared" si="1"/>
        <v>0</v>
      </c>
      <c r="O15" s="59">
        <f t="shared" si="1"/>
        <v>0</v>
      </c>
      <c r="P15" s="59">
        <f t="shared" si="1"/>
        <v>0</v>
      </c>
      <c r="Q15" s="59">
        <f t="shared" si="1"/>
        <v>0</v>
      </c>
      <c r="R15" s="59">
        <f t="shared" si="1"/>
        <v>0</v>
      </c>
      <c r="S15" s="59">
        <f t="shared" si="1"/>
        <v>0</v>
      </c>
      <c r="T15" s="59">
        <f t="shared" si="1"/>
        <v>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7"/>
      <c r="AH15" s="17"/>
      <c r="AI15" s="17"/>
      <c r="AJ15" s="17"/>
      <c r="AK15" s="17"/>
      <c r="AL15" s="17"/>
      <c r="AM15" s="17"/>
    </row>
    <row r="16" spans="1:40" s="18" customFormat="1" ht="313.5" customHeight="1" x14ac:dyDescent="0.4">
      <c r="A16" s="33">
        <v>1511062</v>
      </c>
      <c r="B16" s="49"/>
      <c r="C16" s="50">
        <v>3142</v>
      </c>
      <c r="D16" s="51"/>
      <c r="E16" s="52" t="s">
        <v>80</v>
      </c>
      <c r="F16" s="53">
        <f>G16+H16+I16</f>
        <v>2500000</v>
      </c>
      <c r="G16" s="126">
        <v>2500000</v>
      </c>
      <c r="H16" s="55"/>
      <c r="I16" s="55"/>
      <c r="J16" s="56">
        <f>SUM(K16:M16)</f>
        <v>49500</v>
      </c>
      <c r="K16" s="55">
        <f>49500</f>
        <v>49500</v>
      </c>
      <c r="L16" s="55"/>
      <c r="M16" s="55"/>
      <c r="N16" s="57">
        <f>SUM(O16:Q16)</f>
        <v>49500</v>
      </c>
      <c r="O16" s="55">
        <f>49500</f>
        <v>49500</v>
      </c>
      <c r="P16" s="55"/>
      <c r="Q16" s="58"/>
      <c r="R16" s="55"/>
      <c r="S16" s="55"/>
      <c r="T16" s="55">
        <f>J16-N16</f>
        <v>0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7"/>
      <c r="AH16" s="17"/>
      <c r="AI16" s="17"/>
      <c r="AJ16" s="17"/>
      <c r="AK16" s="17"/>
      <c r="AL16" s="17"/>
      <c r="AM16" s="17"/>
    </row>
    <row r="17" spans="1:40" s="18" customFormat="1" ht="48.75" customHeight="1" x14ac:dyDescent="0.4">
      <c r="A17" s="236" t="s">
        <v>79</v>
      </c>
      <c r="B17" s="236"/>
      <c r="C17" s="236"/>
      <c r="D17" s="236"/>
      <c r="E17" s="236"/>
      <c r="F17" s="59">
        <f>SUM(F16:F16)</f>
        <v>2500000</v>
      </c>
      <c r="G17" s="59">
        <f>G16</f>
        <v>2500000</v>
      </c>
      <c r="H17" s="59">
        <f t="shared" ref="H17:I17" si="2">H16</f>
        <v>0</v>
      </c>
      <c r="I17" s="59">
        <f t="shared" si="2"/>
        <v>0</v>
      </c>
      <c r="J17" s="59">
        <f t="shared" ref="J17:T17" si="3">SUM(J16:J16)</f>
        <v>49500</v>
      </c>
      <c r="K17" s="59">
        <f t="shared" si="3"/>
        <v>49500</v>
      </c>
      <c r="L17" s="59">
        <f t="shared" si="3"/>
        <v>0</v>
      </c>
      <c r="M17" s="59">
        <f t="shared" si="3"/>
        <v>0</v>
      </c>
      <c r="N17" s="59">
        <f t="shared" si="3"/>
        <v>49500</v>
      </c>
      <c r="O17" s="59">
        <f t="shared" si="3"/>
        <v>49500</v>
      </c>
      <c r="P17" s="59">
        <f t="shared" si="3"/>
        <v>0</v>
      </c>
      <c r="Q17" s="59">
        <f t="shared" si="3"/>
        <v>0</v>
      </c>
      <c r="R17" s="59">
        <f t="shared" si="3"/>
        <v>0</v>
      </c>
      <c r="S17" s="59">
        <f t="shared" si="3"/>
        <v>0</v>
      </c>
      <c r="T17" s="59">
        <f t="shared" si="3"/>
        <v>0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7"/>
      <c r="AH17" s="17"/>
      <c r="AI17" s="17"/>
      <c r="AJ17" s="17"/>
      <c r="AK17" s="17"/>
      <c r="AL17" s="17"/>
      <c r="AM17" s="17"/>
    </row>
    <row r="18" spans="1:40" s="18" customFormat="1" ht="69" customHeight="1" x14ac:dyDescent="0.4">
      <c r="A18" s="33"/>
      <c r="B18" s="49"/>
      <c r="C18" s="50"/>
      <c r="D18" s="51"/>
      <c r="E18" s="52"/>
      <c r="F18" s="53">
        <f>SUM(H18:I18)</f>
        <v>0</v>
      </c>
      <c r="G18" s="54"/>
      <c r="H18" s="55"/>
      <c r="I18" s="55"/>
      <c r="J18" s="56">
        <f>SUM(K18:M18)</f>
        <v>0</v>
      </c>
      <c r="K18" s="55"/>
      <c r="L18" s="55"/>
      <c r="M18" s="55"/>
      <c r="N18" s="57">
        <f>SUM(O18:Q18)</f>
        <v>0</v>
      </c>
      <c r="O18" s="55"/>
      <c r="P18" s="55"/>
      <c r="Q18" s="58"/>
      <c r="R18" s="55"/>
      <c r="S18" s="55"/>
      <c r="T18" s="55">
        <f>J18-N18</f>
        <v>0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7"/>
      <c r="AH18" s="17"/>
      <c r="AI18" s="17"/>
      <c r="AJ18" s="17"/>
      <c r="AK18" s="17"/>
      <c r="AL18" s="17"/>
      <c r="AM18" s="17"/>
    </row>
    <row r="19" spans="1:40" s="18" customFormat="1" ht="48.75" customHeight="1" x14ac:dyDescent="0.4">
      <c r="A19" s="236"/>
      <c r="B19" s="236"/>
      <c r="C19" s="236"/>
      <c r="D19" s="236"/>
      <c r="E19" s="236"/>
      <c r="F19" s="59">
        <f>SUM(F18:F18)</f>
        <v>0</v>
      </c>
      <c r="G19" s="59"/>
      <c r="H19" s="59">
        <f>SUM(H18)</f>
        <v>0</v>
      </c>
      <c r="I19" s="59">
        <f t="shared" ref="I19:T19" si="4">SUM(I18:I18)</f>
        <v>0</v>
      </c>
      <c r="J19" s="59">
        <f t="shared" si="4"/>
        <v>0</v>
      </c>
      <c r="K19" s="59">
        <f t="shared" si="4"/>
        <v>0</v>
      </c>
      <c r="L19" s="59">
        <f t="shared" si="4"/>
        <v>0</v>
      </c>
      <c r="M19" s="59">
        <f t="shared" si="4"/>
        <v>0</v>
      </c>
      <c r="N19" s="59">
        <f t="shared" si="4"/>
        <v>0</v>
      </c>
      <c r="O19" s="59">
        <f t="shared" si="4"/>
        <v>0</v>
      </c>
      <c r="P19" s="59">
        <f t="shared" si="4"/>
        <v>0</v>
      </c>
      <c r="Q19" s="59">
        <f t="shared" si="4"/>
        <v>0</v>
      </c>
      <c r="R19" s="59">
        <f t="shared" si="4"/>
        <v>0</v>
      </c>
      <c r="S19" s="59">
        <f t="shared" si="4"/>
        <v>0</v>
      </c>
      <c r="T19" s="59">
        <f t="shared" si="4"/>
        <v>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7"/>
      <c r="AH19" s="17"/>
      <c r="AI19" s="17"/>
      <c r="AJ19" s="17"/>
      <c r="AK19" s="17"/>
      <c r="AL19" s="17"/>
      <c r="AM19" s="17"/>
    </row>
    <row r="20" spans="1:40" s="18" customFormat="1" ht="278.25" customHeight="1" x14ac:dyDescent="0.4">
      <c r="A20" s="33">
        <v>1511171</v>
      </c>
      <c r="B20" s="49"/>
      <c r="C20" s="34">
        <v>3142</v>
      </c>
      <c r="D20" s="51"/>
      <c r="E20" s="52" t="s">
        <v>87</v>
      </c>
      <c r="F20" s="53">
        <f>SUM(H20:I20)</f>
        <v>923440</v>
      </c>
      <c r="G20" s="54"/>
      <c r="H20" s="55"/>
      <c r="I20" s="55">
        <v>923440</v>
      </c>
      <c r="J20" s="56">
        <f>SUM(K20:M20)</f>
        <v>806287.19000000006</v>
      </c>
      <c r="K20" s="55"/>
      <c r="L20" s="55"/>
      <c r="M20" s="55">
        <f>336732.41+152873.1+306241.28+3000+4450+2990.4</f>
        <v>806287.19000000006</v>
      </c>
      <c r="N20" s="57">
        <f>SUM(O20:Q20)</f>
        <v>806287.19000000006</v>
      </c>
      <c r="O20" s="55"/>
      <c r="P20" s="55"/>
      <c r="Q20" s="58">
        <f>6732.41+330000+152873.1+3000+11359.16+294882.12+2200+2250+2990.4</f>
        <v>806287.19000000006</v>
      </c>
      <c r="R20" s="55"/>
      <c r="S20" s="55" t="s">
        <v>28</v>
      </c>
      <c r="T20" s="55">
        <f>J20-N20</f>
        <v>0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7"/>
      <c r="AH20" s="17"/>
      <c r="AI20" s="17"/>
      <c r="AJ20" s="17"/>
      <c r="AK20" s="17"/>
      <c r="AL20" s="17"/>
      <c r="AM20" s="17"/>
    </row>
    <row r="21" spans="1:40" s="18" customFormat="1" ht="51.75" customHeight="1" x14ac:dyDescent="0.4">
      <c r="A21" s="236" t="s">
        <v>86</v>
      </c>
      <c r="B21" s="236"/>
      <c r="C21" s="236"/>
      <c r="D21" s="236"/>
      <c r="E21" s="236"/>
      <c r="F21" s="59">
        <f>SUM(F20:F20)</f>
        <v>923440</v>
      </c>
      <c r="G21" s="59"/>
      <c r="H21" s="59">
        <f>SUM(H20)</f>
        <v>0</v>
      </c>
      <c r="I21" s="59">
        <f t="shared" ref="I21:T21" si="5">SUM(I20:I20)</f>
        <v>923440</v>
      </c>
      <c r="J21" s="59">
        <f t="shared" si="5"/>
        <v>806287.19000000006</v>
      </c>
      <c r="K21" s="59">
        <f t="shared" si="5"/>
        <v>0</v>
      </c>
      <c r="L21" s="59">
        <f t="shared" si="5"/>
        <v>0</v>
      </c>
      <c r="M21" s="59">
        <f t="shared" si="5"/>
        <v>806287.19000000006</v>
      </c>
      <c r="N21" s="59">
        <f t="shared" si="5"/>
        <v>806287.19000000006</v>
      </c>
      <c r="O21" s="59">
        <f t="shared" si="5"/>
        <v>0</v>
      </c>
      <c r="P21" s="59">
        <f t="shared" si="5"/>
        <v>0</v>
      </c>
      <c r="Q21" s="59">
        <f t="shared" si="5"/>
        <v>806287.19000000006</v>
      </c>
      <c r="R21" s="59">
        <f t="shared" si="5"/>
        <v>0</v>
      </c>
      <c r="S21" s="59">
        <f t="shared" si="5"/>
        <v>0</v>
      </c>
      <c r="T21" s="59">
        <f t="shared" si="5"/>
        <v>0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7"/>
      <c r="AH21" s="17"/>
      <c r="AI21" s="17"/>
      <c r="AJ21" s="17"/>
      <c r="AK21" s="17"/>
      <c r="AL21" s="17"/>
      <c r="AM21" s="17"/>
    </row>
    <row r="22" spans="1:40" s="28" customFormat="1" ht="276.75" customHeight="1" x14ac:dyDescent="0.4">
      <c r="A22" s="139">
        <v>1511172</v>
      </c>
      <c r="B22" s="140"/>
      <c r="C22" s="141">
        <v>3142</v>
      </c>
      <c r="D22" s="136"/>
      <c r="E22" s="137" t="s">
        <v>87</v>
      </c>
      <c r="F22" s="71">
        <f>G22+H22+I22</f>
        <v>8310900</v>
      </c>
      <c r="G22" s="104"/>
      <c r="H22" s="72">
        <v>8310900</v>
      </c>
      <c r="I22" s="104"/>
      <c r="J22" s="138">
        <f>K22+L22+M22</f>
        <v>7409697.2699999996</v>
      </c>
      <c r="K22" s="104"/>
      <c r="L22" s="72">
        <f>990000+1375857.18+2756171.52+27000+40050+26913.6+2193704.97</f>
        <v>7409697.2699999996</v>
      </c>
      <c r="M22" s="104"/>
      <c r="N22" s="74">
        <f>O22+P22+Q22</f>
        <v>7409697.2699999996</v>
      </c>
      <c r="O22" s="72"/>
      <c r="P22" s="72">
        <f>990000+1375857.18+27000+102232.48+255930.22+2398008.82+19800+20250+26913.6+44180.94+2149524.03</f>
        <v>7409697.2699999996</v>
      </c>
      <c r="Q22" s="72"/>
      <c r="R22" s="72"/>
      <c r="S22" s="72"/>
      <c r="T22" s="72">
        <f>J22-N22</f>
        <v>0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7"/>
      <c r="AH22" s="27"/>
      <c r="AI22" s="27"/>
      <c r="AJ22" s="27"/>
      <c r="AK22" s="27"/>
      <c r="AL22" s="27"/>
      <c r="AM22" s="27"/>
    </row>
    <row r="23" spans="1:40" s="18" customFormat="1" ht="51.75" customHeight="1" x14ac:dyDescent="0.4">
      <c r="A23" s="232" t="s">
        <v>92</v>
      </c>
      <c r="B23" s="233"/>
      <c r="C23" s="234"/>
      <c r="D23" s="149"/>
      <c r="E23" s="149"/>
      <c r="F23" s="59">
        <f>F22</f>
        <v>8310900</v>
      </c>
      <c r="G23" s="59">
        <f t="shared" ref="G23:T23" si="6">G22</f>
        <v>0</v>
      </c>
      <c r="H23" s="59">
        <f t="shared" si="6"/>
        <v>8310900</v>
      </c>
      <c r="I23" s="59">
        <f t="shared" si="6"/>
        <v>0</v>
      </c>
      <c r="J23" s="59">
        <f t="shared" si="6"/>
        <v>7409697.2699999996</v>
      </c>
      <c r="K23" s="59">
        <f t="shared" si="6"/>
        <v>0</v>
      </c>
      <c r="L23" s="59">
        <f t="shared" si="6"/>
        <v>7409697.2699999996</v>
      </c>
      <c r="M23" s="59">
        <f t="shared" si="6"/>
        <v>0</v>
      </c>
      <c r="N23" s="59">
        <f t="shared" si="6"/>
        <v>7409697.2699999996</v>
      </c>
      <c r="O23" s="59">
        <f t="shared" si="6"/>
        <v>0</v>
      </c>
      <c r="P23" s="59">
        <f t="shared" si="6"/>
        <v>7409697.2699999996</v>
      </c>
      <c r="Q23" s="59">
        <f t="shared" si="6"/>
        <v>0</v>
      </c>
      <c r="R23" s="59">
        <f t="shared" si="6"/>
        <v>0</v>
      </c>
      <c r="S23" s="59">
        <f t="shared" si="6"/>
        <v>0</v>
      </c>
      <c r="T23" s="59">
        <f t="shared" si="6"/>
        <v>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7"/>
      <c r="AH23" s="17"/>
      <c r="AI23" s="17"/>
      <c r="AJ23" s="17"/>
      <c r="AK23" s="17"/>
      <c r="AL23" s="17"/>
      <c r="AM23" s="17"/>
    </row>
    <row r="24" spans="1:40" s="18" customFormat="1" ht="266.25" customHeight="1" x14ac:dyDescent="0.4">
      <c r="A24" s="148">
        <v>1515048</v>
      </c>
      <c r="B24" s="152"/>
      <c r="C24" s="50">
        <v>3142</v>
      </c>
      <c r="D24" s="51"/>
      <c r="E24" s="35" t="s">
        <v>83</v>
      </c>
      <c r="F24" s="127">
        <f>SUM(G24:I24)</f>
        <v>14146000</v>
      </c>
      <c r="G24" s="128">
        <f>1200000+2600000-800000</f>
        <v>3000000</v>
      </c>
      <c r="H24" s="128">
        <v>11146000</v>
      </c>
      <c r="I24" s="128"/>
      <c r="J24" s="129">
        <f>K24+L24+M24</f>
        <v>13815480.67</v>
      </c>
      <c r="K24" s="128">
        <f>1200000+1366076.03+45000+0.04+11412.6+46992</f>
        <v>2669480.6700000004</v>
      </c>
      <c r="L24" s="128">
        <f>2684951.37+649794.74+38063.81+262221.94+1043967.79+41793.49+1822925.44+3801456.46+49000+751824.96</f>
        <v>11146000</v>
      </c>
      <c r="M24" s="128"/>
      <c r="N24" s="130">
        <f>O24+P24+Q24</f>
        <v>13815480.669999998</v>
      </c>
      <c r="O24" s="128">
        <f>1200000+5372.94+15000+30000+1360703.13+11412.6+46992</f>
        <v>2669480.67</v>
      </c>
      <c r="P24" s="128">
        <f>2684951.37+649794.74+38063.81+18105.58+114340.2+129776.16+26847.71+130730.96+362505.85+523883.27+6350.62+35442.87+36145.85+107009.59+352693.26+1326986.74+32903.3+41958.27+327370.06+513060.42+1347674.83+1538489.58+49000+40431.61+138018.91+573464.44</f>
        <v>11145999.999999998</v>
      </c>
      <c r="Q24" s="131"/>
      <c r="R24" s="128"/>
      <c r="S24" s="128"/>
      <c r="T24" s="135">
        <f>J24-N24</f>
        <v>0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7"/>
      <c r="AH24" s="17"/>
      <c r="AI24" s="17"/>
      <c r="AJ24" s="17"/>
      <c r="AK24" s="17"/>
      <c r="AL24" s="17"/>
      <c r="AM24" s="17"/>
    </row>
    <row r="25" spans="1:40" s="18" customFormat="1" ht="57.75" customHeight="1" x14ac:dyDescent="0.4">
      <c r="A25" s="116" t="s">
        <v>82</v>
      </c>
      <c r="B25" s="117"/>
      <c r="C25" s="116"/>
      <c r="D25" s="118"/>
      <c r="E25" s="117"/>
      <c r="F25" s="59">
        <f>SUM(F24:F24)</f>
        <v>14146000</v>
      </c>
      <c r="G25" s="59">
        <f>SUM(G24:G24)</f>
        <v>3000000</v>
      </c>
      <c r="H25" s="59">
        <f t="shared" ref="H25:T25" si="7">SUM(H24:H24)</f>
        <v>11146000</v>
      </c>
      <c r="I25" s="59">
        <f t="shared" si="7"/>
        <v>0</v>
      </c>
      <c r="J25" s="59">
        <f t="shared" si="7"/>
        <v>13815480.67</v>
      </c>
      <c r="K25" s="59">
        <f t="shared" si="7"/>
        <v>2669480.6700000004</v>
      </c>
      <c r="L25" s="59">
        <f t="shared" si="7"/>
        <v>11146000</v>
      </c>
      <c r="M25" s="59">
        <f t="shared" si="7"/>
        <v>0</v>
      </c>
      <c r="N25" s="59">
        <f t="shared" si="7"/>
        <v>13815480.669999998</v>
      </c>
      <c r="O25" s="59">
        <f t="shared" si="7"/>
        <v>2669480.67</v>
      </c>
      <c r="P25" s="59">
        <f t="shared" si="7"/>
        <v>11145999.999999998</v>
      </c>
      <c r="Q25" s="59">
        <f t="shared" si="7"/>
        <v>0</v>
      </c>
      <c r="R25" s="59">
        <f t="shared" si="7"/>
        <v>0</v>
      </c>
      <c r="S25" s="59">
        <f t="shared" si="7"/>
        <v>0</v>
      </c>
      <c r="T25" s="59">
        <f t="shared" si="7"/>
        <v>0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7"/>
      <c r="AH25" s="17"/>
      <c r="AI25" s="17"/>
      <c r="AJ25" s="17"/>
      <c r="AK25" s="17"/>
      <c r="AL25" s="17"/>
      <c r="AM25" s="17"/>
    </row>
    <row r="26" spans="1:40" s="18" customFormat="1" ht="409.6" hidden="1" customHeight="1" x14ac:dyDescent="0.4">
      <c r="A26" s="216">
        <v>1517321</v>
      </c>
      <c r="B26" s="152"/>
      <c r="C26" s="50"/>
      <c r="D26" s="51"/>
      <c r="E26" s="35"/>
      <c r="F26" s="53">
        <f>SUM(G26:I26)</f>
        <v>0</v>
      </c>
      <c r="G26" s="55"/>
      <c r="H26" s="55"/>
      <c r="I26" s="55"/>
      <c r="J26" s="56">
        <f>K26+L26+M26</f>
        <v>0</v>
      </c>
      <c r="K26" s="55"/>
      <c r="L26" s="55"/>
      <c r="M26" s="55"/>
      <c r="N26" s="57">
        <f>O26+P26+Q26</f>
        <v>0</v>
      </c>
      <c r="O26" s="55"/>
      <c r="P26" s="55"/>
      <c r="Q26" s="58"/>
      <c r="R26" s="55"/>
      <c r="S26" s="55"/>
      <c r="T26" s="55">
        <f>J26-N26</f>
        <v>0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7"/>
      <c r="AH26" s="17"/>
      <c r="AI26" s="17"/>
      <c r="AJ26" s="17"/>
      <c r="AK26" s="17"/>
      <c r="AL26" s="17"/>
      <c r="AM26" s="17"/>
    </row>
    <row r="27" spans="1:40" s="18" customFormat="1" ht="409.6" customHeight="1" x14ac:dyDescent="0.4">
      <c r="A27" s="235"/>
      <c r="B27" s="152"/>
      <c r="C27" s="50">
        <v>3132</v>
      </c>
      <c r="D27" s="51"/>
      <c r="E27" s="36" t="s">
        <v>74</v>
      </c>
      <c r="F27" s="53">
        <f t="shared" ref="F27:F28" si="8">SUM(G27:I27)</f>
        <v>61000</v>
      </c>
      <c r="G27" s="55">
        <v>61000</v>
      </c>
      <c r="H27" s="55"/>
      <c r="I27" s="55"/>
      <c r="J27" s="56">
        <f t="shared" ref="J27:J28" si="9">K27+L27+M27</f>
        <v>0</v>
      </c>
      <c r="K27" s="55"/>
      <c r="L27" s="55"/>
      <c r="M27" s="55"/>
      <c r="N27" s="57">
        <f t="shared" ref="N27:N28" si="10">O27+P27+Q27</f>
        <v>0</v>
      </c>
      <c r="O27" s="55"/>
      <c r="P27" s="55"/>
      <c r="Q27" s="58"/>
      <c r="R27" s="55"/>
      <c r="S27" s="55"/>
      <c r="T27" s="55">
        <f t="shared" ref="T27:T28" si="11">J27-N27</f>
        <v>0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7"/>
      <c r="AH27" s="17"/>
      <c r="AI27" s="17"/>
      <c r="AJ27" s="17"/>
      <c r="AK27" s="17"/>
      <c r="AL27" s="17"/>
      <c r="AM27" s="17"/>
    </row>
    <row r="28" spans="1:40" s="18" customFormat="1" ht="372" customHeight="1" x14ac:dyDescent="0.4">
      <c r="A28" s="217"/>
      <c r="B28" s="152"/>
      <c r="C28" s="50">
        <v>3132</v>
      </c>
      <c r="D28" s="51"/>
      <c r="E28" s="36" t="s">
        <v>75</v>
      </c>
      <c r="F28" s="53">
        <f t="shared" si="8"/>
        <v>50000</v>
      </c>
      <c r="G28" s="55">
        <v>50000</v>
      </c>
      <c r="H28" s="55"/>
      <c r="I28" s="55"/>
      <c r="J28" s="56">
        <f t="shared" si="9"/>
        <v>41580</v>
      </c>
      <c r="K28" s="55">
        <f>41580</f>
        <v>41580</v>
      </c>
      <c r="L28" s="55"/>
      <c r="M28" s="55"/>
      <c r="N28" s="57">
        <f t="shared" si="10"/>
        <v>41580</v>
      </c>
      <c r="O28" s="55">
        <f>41580</f>
        <v>41580</v>
      </c>
      <c r="P28" s="55"/>
      <c r="Q28" s="58"/>
      <c r="R28" s="55"/>
      <c r="S28" s="55"/>
      <c r="T28" s="55">
        <f t="shared" si="11"/>
        <v>0</v>
      </c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7"/>
      <c r="AH28" s="17"/>
      <c r="AI28" s="17"/>
      <c r="AJ28" s="17"/>
      <c r="AK28" s="17"/>
      <c r="AL28" s="17"/>
      <c r="AM28" s="17"/>
    </row>
    <row r="29" spans="1:40" s="7" customFormat="1" ht="48.75" customHeight="1" x14ac:dyDescent="0.4">
      <c r="A29" s="119" t="s">
        <v>35</v>
      </c>
      <c r="B29" s="120"/>
      <c r="C29" s="60"/>
      <c r="D29" s="61"/>
      <c r="E29" s="60"/>
      <c r="F29" s="60">
        <f>SUM(F26:F28)</f>
        <v>111000</v>
      </c>
      <c r="G29" s="60">
        <f t="shared" ref="G29:T29" si="12">SUM(G26:G28)</f>
        <v>111000</v>
      </c>
      <c r="H29" s="60">
        <f t="shared" si="12"/>
        <v>0</v>
      </c>
      <c r="I29" s="60">
        <f t="shared" si="12"/>
        <v>0</v>
      </c>
      <c r="J29" s="60">
        <f t="shared" si="12"/>
        <v>41580</v>
      </c>
      <c r="K29" s="60">
        <f t="shared" si="12"/>
        <v>41580</v>
      </c>
      <c r="L29" s="60">
        <f t="shared" si="12"/>
        <v>0</v>
      </c>
      <c r="M29" s="60">
        <f t="shared" si="12"/>
        <v>0</v>
      </c>
      <c r="N29" s="60">
        <f t="shared" si="12"/>
        <v>41580</v>
      </c>
      <c r="O29" s="60">
        <f t="shared" si="12"/>
        <v>41580</v>
      </c>
      <c r="P29" s="60">
        <f t="shared" si="12"/>
        <v>0</v>
      </c>
      <c r="Q29" s="60">
        <f t="shared" si="12"/>
        <v>0</v>
      </c>
      <c r="R29" s="60">
        <f t="shared" si="12"/>
        <v>0</v>
      </c>
      <c r="S29" s="60">
        <f t="shared" si="12"/>
        <v>0</v>
      </c>
      <c r="T29" s="60">
        <f t="shared" si="12"/>
        <v>0</v>
      </c>
      <c r="AG29" s="6"/>
      <c r="AH29" s="6"/>
      <c r="AI29" s="6"/>
      <c r="AJ29" s="6"/>
      <c r="AK29" s="6"/>
      <c r="AL29" s="6"/>
      <c r="AM29" s="6"/>
      <c r="AN29" s="1"/>
    </row>
    <row r="30" spans="1:40" s="7" customFormat="1" ht="151.5" customHeight="1" x14ac:dyDescent="0.4">
      <c r="A30" s="222">
        <v>1517322</v>
      </c>
      <c r="B30" s="122"/>
      <c r="C30" s="50">
        <v>3143</v>
      </c>
      <c r="D30" s="51"/>
      <c r="E30" s="52" t="s">
        <v>27</v>
      </c>
      <c r="F30" s="53">
        <f>G30+H30+I30</f>
        <v>1200000</v>
      </c>
      <c r="G30" s="55">
        <v>1200000</v>
      </c>
      <c r="H30" s="55"/>
      <c r="I30" s="55"/>
      <c r="J30" s="56">
        <f>SUM(K30:M30)</f>
        <v>1127942.06</v>
      </c>
      <c r="K30" s="55">
        <f>230468.18+236240.47+178904.51+295917.24+106780.48+67631.18+12000</f>
        <v>1127942.06</v>
      </c>
      <c r="L30" s="55"/>
      <c r="M30" s="55"/>
      <c r="N30" s="57">
        <f t="shared" ref="N30:N47" si="13">SUM(O30:Q30)</f>
        <v>1127942.06</v>
      </c>
      <c r="O30" s="55">
        <f>225959.54+4508.64+236240.47+3532.53+175371.98+5792.4+290124.84+2065.82+104714.66+1323.5+66307.68+12000</f>
        <v>1127942.06</v>
      </c>
      <c r="P30" s="55"/>
      <c r="Q30" s="58"/>
      <c r="R30" s="55"/>
      <c r="S30" s="55"/>
      <c r="T30" s="55">
        <f t="shared" ref="T30:T47" si="14">J30-N30</f>
        <v>0</v>
      </c>
      <c r="AG30" s="6"/>
      <c r="AH30" s="6"/>
      <c r="AI30" s="6"/>
      <c r="AJ30" s="6"/>
      <c r="AK30" s="6"/>
      <c r="AL30" s="6"/>
      <c r="AM30" s="6"/>
      <c r="AN30" s="1"/>
    </row>
    <row r="31" spans="1:40" s="7" customFormat="1" ht="312" customHeight="1" x14ac:dyDescent="0.4">
      <c r="A31" s="223"/>
      <c r="B31" s="122"/>
      <c r="C31" s="50">
        <v>3142</v>
      </c>
      <c r="D31" s="62">
        <v>415</v>
      </c>
      <c r="E31" s="52" t="s">
        <v>49</v>
      </c>
      <c r="F31" s="53">
        <f>G31+H31+I31</f>
        <v>10000</v>
      </c>
      <c r="G31" s="55">
        <v>10000</v>
      </c>
      <c r="H31" s="55"/>
      <c r="I31" s="55"/>
      <c r="J31" s="56">
        <f>SUM(K31:M31)</f>
        <v>0</v>
      </c>
      <c r="K31" s="55"/>
      <c r="L31" s="55"/>
      <c r="M31" s="55"/>
      <c r="N31" s="57">
        <f t="shared" si="13"/>
        <v>0</v>
      </c>
      <c r="O31" s="55"/>
      <c r="P31" s="55"/>
      <c r="Q31" s="58"/>
      <c r="R31" s="55"/>
      <c r="S31" s="55"/>
      <c r="T31" s="55">
        <f t="shared" si="14"/>
        <v>0</v>
      </c>
      <c r="AG31" s="6"/>
      <c r="AH31" s="6"/>
      <c r="AI31" s="6"/>
      <c r="AJ31" s="6"/>
      <c r="AK31" s="6"/>
      <c r="AL31" s="6"/>
      <c r="AM31" s="6"/>
      <c r="AN31" s="1"/>
    </row>
    <row r="32" spans="1:40" s="7" customFormat="1" ht="298.5" customHeight="1" x14ac:dyDescent="0.4">
      <c r="A32" s="223"/>
      <c r="B32" s="122"/>
      <c r="C32" s="50">
        <v>3142</v>
      </c>
      <c r="D32" s="51"/>
      <c r="E32" s="52" t="s">
        <v>60</v>
      </c>
      <c r="F32" s="53">
        <f>G32+H32+I32</f>
        <v>261300</v>
      </c>
      <c r="G32" s="55">
        <v>261300</v>
      </c>
      <c r="H32" s="55"/>
      <c r="I32" s="55"/>
      <c r="J32" s="56">
        <f>SUM(K32:M32)</f>
        <v>261300</v>
      </c>
      <c r="K32" s="55">
        <f>34912.5+226387.5</f>
        <v>261300</v>
      </c>
      <c r="L32" s="55"/>
      <c r="M32" s="55"/>
      <c r="N32" s="57">
        <f t="shared" si="13"/>
        <v>261300</v>
      </c>
      <c r="O32" s="55">
        <f>34912.5+226387.5</f>
        <v>261300</v>
      </c>
      <c r="P32" s="55"/>
      <c r="Q32" s="58"/>
      <c r="R32" s="55"/>
      <c r="S32" s="55"/>
      <c r="T32" s="55">
        <f t="shared" si="14"/>
        <v>0</v>
      </c>
      <c r="AG32" s="6"/>
      <c r="AH32" s="6"/>
      <c r="AI32" s="6"/>
      <c r="AJ32" s="6"/>
      <c r="AK32" s="6"/>
      <c r="AL32" s="6"/>
      <c r="AM32" s="6"/>
      <c r="AN32" s="1"/>
    </row>
    <row r="33" spans="1:40" s="7" customFormat="1" ht="354.75" customHeight="1" x14ac:dyDescent="0.4">
      <c r="A33" s="223"/>
      <c r="B33" s="122"/>
      <c r="C33" s="50">
        <v>3122</v>
      </c>
      <c r="D33" s="51"/>
      <c r="E33" s="36" t="s">
        <v>71</v>
      </c>
      <c r="F33" s="53">
        <f t="shared" ref="F33:F47" si="15">G33+H33+I33</f>
        <v>346200</v>
      </c>
      <c r="G33" s="55">
        <v>346200</v>
      </c>
      <c r="H33" s="55"/>
      <c r="I33" s="55"/>
      <c r="J33" s="56">
        <f t="shared" ref="J33:J47" si="16">SUM(K33:M33)</f>
        <v>202064.56</v>
      </c>
      <c r="K33" s="55">
        <f>178064.56+24000</f>
        <v>202064.56</v>
      </c>
      <c r="L33" s="55"/>
      <c r="M33" s="55"/>
      <c r="N33" s="57">
        <f t="shared" si="13"/>
        <v>202064.56</v>
      </c>
      <c r="O33" s="55">
        <f>178064.56+24000</f>
        <v>202064.56</v>
      </c>
      <c r="P33" s="55"/>
      <c r="Q33" s="58"/>
      <c r="R33" s="55"/>
      <c r="S33" s="55"/>
      <c r="T33" s="55">
        <f t="shared" si="14"/>
        <v>0</v>
      </c>
      <c r="AG33" s="6"/>
      <c r="AH33" s="6"/>
      <c r="AI33" s="6"/>
      <c r="AJ33" s="6"/>
      <c r="AK33" s="6"/>
      <c r="AL33" s="6"/>
      <c r="AM33" s="6"/>
      <c r="AN33" s="1"/>
    </row>
    <row r="34" spans="1:40" s="7" customFormat="1" ht="222.75" customHeight="1" x14ac:dyDescent="0.4">
      <c r="A34" s="223"/>
      <c r="B34" s="122"/>
      <c r="C34" s="50">
        <v>3132</v>
      </c>
      <c r="D34" s="51"/>
      <c r="E34" s="121" t="s">
        <v>78</v>
      </c>
      <c r="F34" s="53">
        <f t="shared" si="15"/>
        <v>1539200</v>
      </c>
      <c r="G34" s="55">
        <v>1539200</v>
      </c>
      <c r="H34" s="55"/>
      <c r="I34" s="55"/>
      <c r="J34" s="56">
        <f t="shared" si="16"/>
        <v>1322520.27</v>
      </c>
      <c r="K34" s="55">
        <f>364756.2+79226.75+778743.72+6000+11412.6+20382+49999+12000</f>
        <v>1322520.27</v>
      </c>
      <c r="L34" s="55"/>
      <c r="M34" s="55"/>
      <c r="N34" s="57">
        <f t="shared" si="13"/>
        <v>1322520.27</v>
      </c>
      <c r="O34" s="55">
        <f>364756.2+10082.95+69143.8+4418+14620.72+17380+204024+230984+307317+6000+20382+11412.6+49999+12000</f>
        <v>1322520.27</v>
      </c>
      <c r="P34" s="55"/>
      <c r="Q34" s="58"/>
      <c r="R34" s="55"/>
      <c r="S34" s="55"/>
      <c r="T34" s="55">
        <f t="shared" si="14"/>
        <v>0</v>
      </c>
      <c r="AG34" s="6"/>
      <c r="AH34" s="6"/>
      <c r="AI34" s="6"/>
      <c r="AJ34" s="6"/>
      <c r="AK34" s="6"/>
      <c r="AL34" s="6"/>
      <c r="AM34" s="6"/>
      <c r="AN34" s="1"/>
    </row>
    <row r="35" spans="1:40" s="7" customFormat="1" ht="362.25" customHeight="1" x14ac:dyDescent="0.4">
      <c r="A35" s="223"/>
      <c r="B35" s="122"/>
      <c r="C35" s="50">
        <v>3142</v>
      </c>
      <c r="D35" s="51"/>
      <c r="E35" s="36" t="s">
        <v>65</v>
      </c>
      <c r="F35" s="53">
        <f t="shared" si="15"/>
        <v>1000000</v>
      </c>
      <c r="G35" s="55">
        <v>1000000</v>
      </c>
      <c r="H35" s="55"/>
      <c r="I35" s="55"/>
      <c r="J35" s="56">
        <f t="shared" si="16"/>
        <v>0</v>
      </c>
      <c r="K35" s="55"/>
      <c r="L35" s="55"/>
      <c r="M35" s="55"/>
      <c r="N35" s="57">
        <f t="shared" si="13"/>
        <v>0</v>
      </c>
      <c r="O35" s="55"/>
      <c r="P35" s="55"/>
      <c r="Q35" s="58"/>
      <c r="R35" s="55"/>
      <c r="S35" s="55"/>
      <c r="T35" s="55">
        <f t="shared" si="14"/>
        <v>0</v>
      </c>
      <c r="AG35" s="6"/>
      <c r="AH35" s="6"/>
      <c r="AI35" s="6"/>
      <c r="AJ35" s="6"/>
      <c r="AK35" s="6"/>
      <c r="AL35" s="6"/>
      <c r="AM35" s="6"/>
      <c r="AN35" s="1"/>
    </row>
    <row r="36" spans="1:40" s="7" customFormat="1" ht="276.75" customHeight="1" x14ac:dyDescent="0.4">
      <c r="A36" s="223"/>
      <c r="B36" s="122"/>
      <c r="C36" s="50">
        <v>3142</v>
      </c>
      <c r="D36" s="51"/>
      <c r="E36" s="36" t="s">
        <v>66</v>
      </c>
      <c r="F36" s="53">
        <f t="shared" si="15"/>
        <v>394400</v>
      </c>
      <c r="G36" s="55">
        <v>394400</v>
      </c>
      <c r="H36" s="55"/>
      <c r="I36" s="55"/>
      <c r="J36" s="56">
        <f t="shared" si="16"/>
        <v>370000</v>
      </c>
      <c r="K36" s="55">
        <v>370000</v>
      </c>
      <c r="L36" s="55"/>
      <c r="M36" s="55"/>
      <c r="N36" s="57">
        <f t="shared" si="13"/>
        <v>370000</v>
      </c>
      <c r="O36" s="55">
        <v>370000</v>
      </c>
      <c r="P36" s="55"/>
      <c r="Q36" s="58"/>
      <c r="R36" s="55"/>
      <c r="S36" s="55"/>
      <c r="T36" s="55">
        <f t="shared" si="14"/>
        <v>0</v>
      </c>
      <c r="AG36" s="6"/>
      <c r="AH36" s="6"/>
      <c r="AI36" s="6"/>
      <c r="AJ36" s="6"/>
      <c r="AK36" s="6"/>
      <c r="AL36" s="6"/>
      <c r="AM36" s="6"/>
      <c r="AN36" s="1"/>
    </row>
    <row r="37" spans="1:40" s="7" customFormat="1" ht="255" customHeight="1" x14ac:dyDescent="0.4">
      <c r="A37" s="223"/>
      <c r="B37" s="122"/>
      <c r="C37" s="50">
        <v>3142</v>
      </c>
      <c r="D37" s="51"/>
      <c r="E37" s="36" t="s">
        <v>67</v>
      </c>
      <c r="F37" s="53">
        <f t="shared" si="15"/>
        <v>416900</v>
      </c>
      <c r="G37" s="55">
        <v>416900</v>
      </c>
      <c r="H37" s="55"/>
      <c r="I37" s="55"/>
      <c r="J37" s="56">
        <f t="shared" si="16"/>
        <v>380000</v>
      </c>
      <c r="K37" s="55">
        <v>380000</v>
      </c>
      <c r="L37" s="55"/>
      <c r="M37" s="55"/>
      <c r="N37" s="57">
        <f t="shared" si="13"/>
        <v>380000</v>
      </c>
      <c r="O37" s="55">
        <v>380000</v>
      </c>
      <c r="P37" s="55"/>
      <c r="Q37" s="58"/>
      <c r="R37" s="55"/>
      <c r="S37" s="55"/>
      <c r="T37" s="55">
        <f t="shared" si="14"/>
        <v>0</v>
      </c>
      <c r="AG37" s="6"/>
      <c r="AH37" s="6"/>
      <c r="AI37" s="6"/>
      <c r="AJ37" s="6"/>
      <c r="AK37" s="6"/>
      <c r="AL37" s="6"/>
      <c r="AM37" s="6"/>
      <c r="AN37" s="1"/>
    </row>
    <row r="38" spans="1:40" s="7" customFormat="1" ht="253.5" customHeight="1" x14ac:dyDescent="0.4">
      <c r="A38" s="223"/>
      <c r="B38" s="122"/>
      <c r="C38" s="50">
        <v>3142</v>
      </c>
      <c r="D38" s="51"/>
      <c r="E38" s="36" t="s">
        <v>68</v>
      </c>
      <c r="F38" s="53">
        <f t="shared" si="15"/>
        <v>893900</v>
      </c>
      <c r="G38" s="55">
        <v>893900</v>
      </c>
      <c r="H38" s="55"/>
      <c r="I38" s="55"/>
      <c r="J38" s="56">
        <f t="shared" si="16"/>
        <v>880000</v>
      </c>
      <c r="K38" s="55">
        <v>880000</v>
      </c>
      <c r="L38" s="55"/>
      <c r="M38" s="55"/>
      <c r="N38" s="57">
        <f t="shared" si="13"/>
        <v>880000</v>
      </c>
      <c r="O38" s="55">
        <v>880000</v>
      </c>
      <c r="P38" s="55"/>
      <c r="Q38" s="58"/>
      <c r="R38" s="55"/>
      <c r="S38" s="55"/>
      <c r="T38" s="55">
        <f t="shared" si="14"/>
        <v>0</v>
      </c>
      <c r="AG38" s="6"/>
      <c r="AH38" s="6"/>
      <c r="AI38" s="6"/>
      <c r="AJ38" s="6"/>
      <c r="AK38" s="6"/>
      <c r="AL38" s="6"/>
      <c r="AM38" s="6"/>
      <c r="AN38" s="1"/>
    </row>
    <row r="39" spans="1:40" s="7" customFormat="1" ht="172.5" customHeight="1" x14ac:dyDescent="0.4">
      <c r="A39" s="223"/>
      <c r="B39" s="122"/>
      <c r="C39" s="50">
        <v>3142</v>
      </c>
      <c r="D39" s="51"/>
      <c r="E39" s="36" t="s">
        <v>69</v>
      </c>
      <c r="F39" s="53">
        <f t="shared" si="15"/>
        <v>250000</v>
      </c>
      <c r="G39" s="55">
        <v>250000</v>
      </c>
      <c r="H39" s="55"/>
      <c r="I39" s="55"/>
      <c r="J39" s="56">
        <f t="shared" si="16"/>
        <v>250000</v>
      </c>
      <c r="K39" s="55">
        <f>250000</f>
        <v>250000</v>
      </c>
      <c r="L39" s="55"/>
      <c r="M39" s="55"/>
      <c r="N39" s="57">
        <f t="shared" si="13"/>
        <v>250000</v>
      </c>
      <c r="O39" s="55">
        <v>250000</v>
      </c>
      <c r="P39" s="55"/>
      <c r="Q39" s="58"/>
      <c r="R39" s="55"/>
      <c r="S39" s="55"/>
      <c r="T39" s="55">
        <f t="shared" si="14"/>
        <v>0</v>
      </c>
      <c r="AG39" s="6"/>
      <c r="AH39" s="6"/>
      <c r="AI39" s="6"/>
      <c r="AJ39" s="6"/>
      <c r="AK39" s="6"/>
      <c r="AL39" s="6"/>
      <c r="AM39" s="6"/>
      <c r="AN39" s="1"/>
    </row>
    <row r="40" spans="1:40" s="7" customFormat="1" ht="156.75" customHeight="1" x14ac:dyDescent="0.4">
      <c r="A40" s="224"/>
      <c r="B40" s="122"/>
      <c r="C40" s="50">
        <v>3142</v>
      </c>
      <c r="D40" s="51"/>
      <c r="E40" s="36" t="s">
        <v>70</v>
      </c>
      <c r="F40" s="53">
        <f t="shared" si="15"/>
        <v>300000</v>
      </c>
      <c r="G40" s="55">
        <v>300000</v>
      </c>
      <c r="H40" s="55"/>
      <c r="I40" s="55"/>
      <c r="J40" s="56">
        <f t="shared" si="16"/>
        <v>61901.200000000004</v>
      </c>
      <c r="K40" s="55">
        <f>49000+12370.8+530.4</f>
        <v>61901.200000000004</v>
      </c>
      <c r="L40" s="55"/>
      <c r="M40" s="55"/>
      <c r="N40" s="57">
        <f t="shared" si="13"/>
        <v>61901.2</v>
      </c>
      <c r="O40" s="55">
        <f>49000+12901.2</f>
        <v>61901.2</v>
      </c>
      <c r="P40" s="55"/>
      <c r="Q40" s="58"/>
      <c r="R40" s="55"/>
      <c r="S40" s="55"/>
      <c r="T40" s="55">
        <f t="shared" si="14"/>
        <v>0</v>
      </c>
      <c r="AG40" s="6"/>
      <c r="AH40" s="6"/>
      <c r="AI40" s="6"/>
      <c r="AJ40" s="6"/>
      <c r="AK40" s="6"/>
      <c r="AL40" s="6"/>
      <c r="AM40" s="6"/>
      <c r="AN40" s="1"/>
    </row>
    <row r="41" spans="1:40" s="7" customFormat="1" ht="279.75" customHeight="1" x14ac:dyDescent="0.4">
      <c r="A41" s="133"/>
      <c r="B41" s="122"/>
      <c r="C41" s="50">
        <v>3142</v>
      </c>
      <c r="D41" s="51"/>
      <c r="E41" s="134" t="s">
        <v>88</v>
      </c>
      <c r="F41" s="53">
        <f t="shared" si="15"/>
        <v>1490000</v>
      </c>
      <c r="G41" s="55">
        <f>698800+791200</f>
        <v>1490000</v>
      </c>
      <c r="H41" s="55"/>
      <c r="I41" s="55"/>
      <c r="J41" s="56">
        <f t="shared" si="16"/>
        <v>1488510.39</v>
      </c>
      <c r="K41" s="55">
        <f>1488510.39</f>
        <v>1488510.39</v>
      </c>
      <c r="L41" s="55"/>
      <c r="M41" s="55"/>
      <c r="N41" s="57">
        <f t="shared" si="13"/>
        <v>1488510.39</v>
      </c>
      <c r="O41" s="55">
        <f>1488510.39</f>
        <v>1488510.39</v>
      </c>
      <c r="P41" s="55"/>
      <c r="Q41" s="58"/>
      <c r="R41" s="55"/>
      <c r="S41" s="55"/>
      <c r="T41" s="55">
        <f t="shared" si="14"/>
        <v>0</v>
      </c>
      <c r="AG41" s="6"/>
      <c r="AH41" s="6"/>
      <c r="AI41" s="6"/>
      <c r="AJ41" s="6"/>
      <c r="AK41" s="6"/>
      <c r="AL41" s="6"/>
      <c r="AM41" s="6"/>
      <c r="AN41" s="1"/>
    </row>
    <row r="42" spans="1:40" s="7" customFormat="1" ht="324.75" customHeight="1" x14ac:dyDescent="0.4">
      <c r="A42" s="133"/>
      <c r="B42" s="122"/>
      <c r="C42" s="50">
        <v>3142</v>
      </c>
      <c r="D42" s="51"/>
      <c r="E42" s="134" t="s">
        <v>89</v>
      </c>
      <c r="F42" s="53">
        <f t="shared" si="15"/>
        <v>360000</v>
      </c>
      <c r="G42" s="55">
        <v>360000</v>
      </c>
      <c r="H42" s="55"/>
      <c r="I42" s="55"/>
      <c r="J42" s="56">
        <f t="shared" si="16"/>
        <v>291442.58</v>
      </c>
      <c r="K42" s="55">
        <f>291442.58</f>
        <v>291442.58</v>
      </c>
      <c r="L42" s="55"/>
      <c r="M42" s="55"/>
      <c r="N42" s="57">
        <f t="shared" si="13"/>
        <v>291442.58</v>
      </c>
      <c r="O42" s="55">
        <f>291442.58</f>
        <v>291442.58</v>
      </c>
      <c r="P42" s="55"/>
      <c r="Q42" s="58"/>
      <c r="R42" s="55"/>
      <c r="S42" s="55"/>
      <c r="T42" s="55">
        <f t="shared" si="14"/>
        <v>0</v>
      </c>
      <c r="AG42" s="6"/>
      <c r="AH42" s="6"/>
      <c r="AI42" s="6"/>
      <c r="AJ42" s="6"/>
      <c r="AK42" s="6"/>
      <c r="AL42" s="6"/>
      <c r="AM42" s="6"/>
      <c r="AN42" s="1"/>
    </row>
    <row r="43" spans="1:40" s="7" customFormat="1" ht="282.75" customHeight="1" x14ac:dyDescent="0.4">
      <c r="A43" s="133"/>
      <c r="B43" s="122"/>
      <c r="C43" s="50">
        <v>3132</v>
      </c>
      <c r="D43" s="51"/>
      <c r="E43" s="134" t="s">
        <v>90</v>
      </c>
      <c r="F43" s="53">
        <f t="shared" si="15"/>
        <v>1460000</v>
      </c>
      <c r="G43" s="55">
        <f>450000+1010000</f>
        <v>1460000</v>
      </c>
      <c r="H43" s="55"/>
      <c r="I43" s="55"/>
      <c r="J43" s="56">
        <f t="shared" si="16"/>
        <v>1459500</v>
      </c>
      <c r="K43" s="55">
        <f>49500+1410000</f>
        <v>1459500</v>
      </c>
      <c r="L43" s="55"/>
      <c r="M43" s="55"/>
      <c r="N43" s="57">
        <f t="shared" si="13"/>
        <v>1459500</v>
      </c>
      <c r="O43" s="55">
        <f>49500+1410000</f>
        <v>1459500</v>
      </c>
      <c r="P43" s="55"/>
      <c r="Q43" s="58"/>
      <c r="R43" s="55"/>
      <c r="S43" s="55"/>
      <c r="T43" s="55">
        <f t="shared" si="14"/>
        <v>0</v>
      </c>
      <c r="AG43" s="6"/>
      <c r="AH43" s="6"/>
      <c r="AI43" s="6"/>
      <c r="AJ43" s="6"/>
      <c r="AK43" s="6"/>
      <c r="AL43" s="6"/>
      <c r="AM43" s="6"/>
      <c r="AN43" s="1"/>
    </row>
    <row r="44" spans="1:40" s="7" customFormat="1" ht="282.75" customHeight="1" x14ac:dyDescent="0.4">
      <c r="A44" s="133"/>
      <c r="B44" s="122"/>
      <c r="C44" s="50">
        <v>3142</v>
      </c>
      <c r="D44" s="51"/>
      <c r="E44" s="145" t="s">
        <v>94</v>
      </c>
      <c r="F44" s="53">
        <f t="shared" si="15"/>
        <v>1500000</v>
      </c>
      <c r="G44" s="55">
        <v>1500000</v>
      </c>
      <c r="H44" s="55"/>
      <c r="I44" s="55"/>
      <c r="J44" s="56">
        <f t="shared" si="16"/>
        <v>1469500</v>
      </c>
      <c r="K44" s="55">
        <f>49500+476100+943900</f>
        <v>1469500</v>
      </c>
      <c r="L44" s="55"/>
      <c r="M44" s="55"/>
      <c r="N44" s="57">
        <f t="shared" si="13"/>
        <v>1469500</v>
      </c>
      <c r="O44" s="55">
        <f>49500+1420000</f>
        <v>1469500</v>
      </c>
      <c r="P44" s="55"/>
      <c r="Q44" s="58"/>
      <c r="R44" s="55"/>
      <c r="S44" s="55"/>
      <c r="T44" s="55">
        <f t="shared" si="14"/>
        <v>0</v>
      </c>
      <c r="AG44" s="6"/>
      <c r="AH44" s="6"/>
      <c r="AI44" s="6"/>
      <c r="AJ44" s="6"/>
      <c r="AK44" s="6"/>
      <c r="AL44" s="6"/>
      <c r="AM44" s="6"/>
      <c r="AN44" s="1"/>
    </row>
    <row r="45" spans="1:40" s="7" customFormat="1" ht="282.75" customHeight="1" x14ac:dyDescent="0.4">
      <c r="A45" s="133"/>
      <c r="B45" s="122"/>
      <c r="C45" s="50">
        <v>3132</v>
      </c>
      <c r="D45" s="51"/>
      <c r="E45" s="134" t="s">
        <v>95</v>
      </c>
      <c r="F45" s="53">
        <f t="shared" si="15"/>
        <v>50000</v>
      </c>
      <c r="G45" s="55">
        <v>50000</v>
      </c>
      <c r="H45" s="55"/>
      <c r="I45" s="55"/>
      <c r="J45" s="56">
        <f t="shared" si="16"/>
        <v>49500</v>
      </c>
      <c r="K45" s="55">
        <f>49500</f>
        <v>49500</v>
      </c>
      <c r="L45" s="55"/>
      <c r="M45" s="55"/>
      <c r="N45" s="57">
        <f t="shared" si="13"/>
        <v>49500</v>
      </c>
      <c r="O45" s="55">
        <f>49500</f>
        <v>49500</v>
      </c>
      <c r="P45" s="55"/>
      <c r="Q45" s="58"/>
      <c r="R45" s="55"/>
      <c r="S45" s="55"/>
      <c r="T45" s="55">
        <f t="shared" si="14"/>
        <v>0</v>
      </c>
      <c r="AG45" s="6"/>
      <c r="AH45" s="6"/>
      <c r="AI45" s="6"/>
      <c r="AJ45" s="6"/>
      <c r="AK45" s="6"/>
      <c r="AL45" s="6"/>
      <c r="AM45" s="6"/>
      <c r="AN45" s="1"/>
    </row>
    <row r="46" spans="1:40" s="7" customFormat="1" ht="282.75" customHeight="1" x14ac:dyDescent="0.4">
      <c r="A46" s="133"/>
      <c r="B46" s="122"/>
      <c r="C46" s="50">
        <v>3142</v>
      </c>
      <c r="D46" s="51"/>
      <c r="E46" s="134" t="s">
        <v>96</v>
      </c>
      <c r="F46" s="53">
        <f t="shared" si="15"/>
        <v>50000</v>
      </c>
      <c r="G46" s="55">
        <v>50000</v>
      </c>
      <c r="H46" s="55"/>
      <c r="I46" s="55"/>
      <c r="J46" s="56">
        <f t="shared" si="16"/>
        <v>49500</v>
      </c>
      <c r="K46" s="55">
        <f>49500</f>
        <v>49500</v>
      </c>
      <c r="L46" s="55"/>
      <c r="M46" s="55"/>
      <c r="N46" s="57">
        <f t="shared" si="13"/>
        <v>49500</v>
      </c>
      <c r="O46" s="55">
        <f>49500</f>
        <v>49500</v>
      </c>
      <c r="P46" s="55"/>
      <c r="Q46" s="58"/>
      <c r="R46" s="55"/>
      <c r="S46" s="55"/>
      <c r="T46" s="55">
        <f t="shared" si="14"/>
        <v>0</v>
      </c>
      <c r="AG46" s="6"/>
      <c r="AH46" s="6"/>
      <c r="AI46" s="6"/>
      <c r="AJ46" s="6"/>
      <c r="AK46" s="6"/>
      <c r="AL46" s="6"/>
      <c r="AM46" s="6"/>
      <c r="AN46" s="1"/>
    </row>
    <row r="47" spans="1:40" s="7" customFormat="1" ht="282.75" customHeight="1" x14ac:dyDescent="0.4">
      <c r="A47" s="133"/>
      <c r="B47" s="122"/>
      <c r="C47" s="50">
        <v>3142</v>
      </c>
      <c r="D47" s="51"/>
      <c r="E47" s="134" t="s">
        <v>97</v>
      </c>
      <c r="F47" s="53">
        <f t="shared" si="15"/>
        <v>50000</v>
      </c>
      <c r="G47" s="55">
        <v>50000</v>
      </c>
      <c r="H47" s="55"/>
      <c r="I47" s="55"/>
      <c r="J47" s="56">
        <f t="shared" si="16"/>
        <v>49500</v>
      </c>
      <c r="K47" s="55">
        <f>49500</f>
        <v>49500</v>
      </c>
      <c r="L47" s="55"/>
      <c r="M47" s="55"/>
      <c r="N47" s="57">
        <f t="shared" si="13"/>
        <v>49500</v>
      </c>
      <c r="O47" s="55">
        <f>49500</f>
        <v>49500</v>
      </c>
      <c r="P47" s="55"/>
      <c r="Q47" s="58"/>
      <c r="R47" s="55"/>
      <c r="S47" s="55"/>
      <c r="T47" s="55">
        <f t="shared" si="14"/>
        <v>0</v>
      </c>
      <c r="AG47" s="6"/>
      <c r="AH47" s="6"/>
      <c r="AI47" s="6"/>
      <c r="AJ47" s="6"/>
      <c r="AK47" s="6"/>
      <c r="AL47" s="6"/>
      <c r="AM47" s="6"/>
      <c r="AN47" s="1"/>
    </row>
    <row r="48" spans="1:40" s="7" customFormat="1" ht="48.75" customHeight="1" x14ac:dyDescent="0.4">
      <c r="A48" s="119" t="s">
        <v>34</v>
      </c>
      <c r="B48" s="120"/>
      <c r="C48" s="60"/>
      <c r="D48" s="61"/>
      <c r="E48" s="60"/>
      <c r="F48" s="60">
        <f>SUM(F30:F47)</f>
        <v>11571900</v>
      </c>
      <c r="G48" s="60">
        <f t="shared" ref="G48:T48" si="17">SUM(G30:G47)</f>
        <v>11571900</v>
      </c>
      <c r="H48" s="60">
        <f t="shared" si="17"/>
        <v>0</v>
      </c>
      <c r="I48" s="60">
        <f t="shared" si="17"/>
        <v>0</v>
      </c>
      <c r="J48" s="60">
        <f t="shared" si="17"/>
        <v>9713181.0600000005</v>
      </c>
      <c r="K48" s="60">
        <f t="shared" si="17"/>
        <v>9713181.0600000005</v>
      </c>
      <c r="L48" s="60">
        <f t="shared" si="17"/>
        <v>0</v>
      </c>
      <c r="M48" s="60">
        <f t="shared" si="17"/>
        <v>0</v>
      </c>
      <c r="N48" s="60">
        <f t="shared" si="17"/>
        <v>9713181.0600000005</v>
      </c>
      <c r="O48" s="60">
        <f t="shared" si="17"/>
        <v>9713181.0600000005</v>
      </c>
      <c r="P48" s="60">
        <f t="shared" si="17"/>
        <v>0</v>
      </c>
      <c r="Q48" s="60">
        <f t="shared" si="17"/>
        <v>0</v>
      </c>
      <c r="R48" s="60">
        <f t="shared" si="17"/>
        <v>0</v>
      </c>
      <c r="S48" s="60">
        <f t="shared" si="17"/>
        <v>0</v>
      </c>
      <c r="T48" s="60">
        <f t="shared" si="17"/>
        <v>0</v>
      </c>
      <c r="AG48" s="6"/>
      <c r="AH48" s="6"/>
      <c r="AI48" s="6"/>
      <c r="AJ48" s="6"/>
      <c r="AK48" s="6"/>
      <c r="AL48" s="6"/>
      <c r="AM48" s="6"/>
      <c r="AN48" s="1"/>
    </row>
    <row r="49" spans="1:247" ht="269.25" customHeight="1" x14ac:dyDescent="0.4">
      <c r="A49" s="148">
        <v>1517323</v>
      </c>
      <c r="B49" s="63"/>
      <c r="C49" s="64">
        <v>3142</v>
      </c>
      <c r="D49" s="65"/>
      <c r="E49" s="37" t="s">
        <v>25</v>
      </c>
      <c r="F49" s="53">
        <f>SUM(G49:I49)</f>
        <v>2995000</v>
      </c>
      <c r="G49" s="55">
        <v>2995000</v>
      </c>
      <c r="H49" s="55"/>
      <c r="I49" s="55"/>
      <c r="J49" s="56">
        <f>SUM(K49)</f>
        <v>2161168.75</v>
      </c>
      <c r="K49" s="55">
        <f>532093.32+308007.19+205696.74+1115365.85+5.65</f>
        <v>2161168.75</v>
      </c>
      <c r="L49" s="55"/>
      <c r="M49" s="55"/>
      <c r="N49" s="57">
        <f>SUM(O49+P49+Q49)</f>
        <v>2161168.75</v>
      </c>
      <c r="O49" s="55">
        <f>10325.82+521767.5+301930.45+6076.74+3799.52+201897.22+21465.65+1093905.85</f>
        <v>2161168.75</v>
      </c>
      <c r="P49" s="55"/>
      <c r="Q49" s="55"/>
      <c r="R49" s="55"/>
      <c r="S49" s="55"/>
      <c r="T49" s="55">
        <f>J49-N49</f>
        <v>0</v>
      </c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</row>
    <row r="50" spans="1:247" ht="47.25" customHeight="1" x14ac:dyDescent="0.4">
      <c r="A50" s="119" t="s">
        <v>33</v>
      </c>
      <c r="B50" s="120"/>
      <c r="C50" s="66"/>
      <c r="D50" s="67"/>
      <c r="E50" s="60"/>
      <c r="F50" s="60">
        <f>F49</f>
        <v>2995000</v>
      </c>
      <c r="G50" s="60">
        <f t="shared" ref="G50:T50" si="18">G49</f>
        <v>2995000</v>
      </c>
      <c r="H50" s="60">
        <f t="shared" si="18"/>
        <v>0</v>
      </c>
      <c r="I50" s="60">
        <f t="shared" si="18"/>
        <v>0</v>
      </c>
      <c r="J50" s="60">
        <f t="shared" si="18"/>
        <v>2161168.75</v>
      </c>
      <c r="K50" s="60">
        <f t="shared" si="18"/>
        <v>2161168.75</v>
      </c>
      <c r="L50" s="60">
        <f t="shared" si="18"/>
        <v>0</v>
      </c>
      <c r="M50" s="60">
        <f t="shared" si="18"/>
        <v>0</v>
      </c>
      <c r="N50" s="60">
        <f t="shared" si="18"/>
        <v>2161168.75</v>
      </c>
      <c r="O50" s="60">
        <f t="shared" si="18"/>
        <v>2161168.75</v>
      </c>
      <c r="P50" s="60">
        <f t="shared" si="18"/>
        <v>0</v>
      </c>
      <c r="Q50" s="60">
        <f t="shared" si="18"/>
        <v>0</v>
      </c>
      <c r="R50" s="60">
        <f t="shared" si="18"/>
        <v>0</v>
      </c>
      <c r="S50" s="60">
        <f t="shared" si="18"/>
        <v>0</v>
      </c>
      <c r="T50" s="60">
        <f t="shared" si="18"/>
        <v>0</v>
      </c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</row>
    <row r="51" spans="1:247" s="26" customFormat="1" ht="220.5" customHeight="1" x14ac:dyDescent="0.4">
      <c r="A51" s="225">
        <v>1517324</v>
      </c>
      <c r="B51" s="112"/>
      <c r="C51" s="68">
        <v>3143</v>
      </c>
      <c r="D51" s="69">
        <v>417</v>
      </c>
      <c r="E51" s="70" t="s">
        <v>37</v>
      </c>
      <c r="F51" s="71">
        <f>G51+H51+I51</f>
        <v>7500000</v>
      </c>
      <c r="G51" s="72">
        <v>4000000</v>
      </c>
      <c r="H51" s="72"/>
      <c r="I51" s="72">
        <v>3500000</v>
      </c>
      <c r="J51" s="73">
        <f>K51+L51+M51</f>
        <v>7479779.5800000001</v>
      </c>
      <c r="K51" s="72">
        <f>2050286.41+1274711.61+322165.51+81496.67+120000+118218.18+12901.2</f>
        <v>3979779.5800000005</v>
      </c>
      <c r="L51" s="72"/>
      <c r="M51" s="72">
        <f>1223900.55+2113018.75+68719.08+25858.29+68503.33</f>
        <v>3500000</v>
      </c>
      <c r="N51" s="74">
        <f>O51+P51+Q51</f>
        <v>7479779.5800000001</v>
      </c>
      <c r="O51" s="72">
        <f>2050286.41+52896.42+251440.87+431320.34+14660.39+211069.84+3525.72+4182.73+147593.8+1124.14+156897.36+49186.83+272978.68+81496.67+120000+42139.82+76078.36+12901.2</f>
        <v>3979779.58</v>
      </c>
      <c r="P51" s="72"/>
      <c r="Q51" s="72">
        <f>1200000+23900.05+2113018.75+42071.66+873.65+10081.93+15692.34+25858.29+68503.33</f>
        <v>3500000</v>
      </c>
      <c r="R51" s="72"/>
      <c r="S51" s="72"/>
      <c r="T51" s="72">
        <f>J51-N51</f>
        <v>0</v>
      </c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0"/>
      <c r="AH51" s="20"/>
      <c r="AI51" s="20"/>
      <c r="AJ51" s="20"/>
      <c r="AK51" s="20"/>
      <c r="AL51" s="20"/>
      <c r="AM51" s="20"/>
      <c r="AN51" s="21"/>
    </row>
    <row r="52" spans="1:247" s="26" customFormat="1" ht="259.5" customHeight="1" x14ac:dyDescent="0.4">
      <c r="A52" s="226"/>
      <c r="B52" s="112"/>
      <c r="C52" s="68">
        <v>3143</v>
      </c>
      <c r="D52" s="69"/>
      <c r="E52" s="70" t="s">
        <v>72</v>
      </c>
      <c r="F52" s="71">
        <f>G52+H52+I52</f>
        <v>1000000</v>
      </c>
      <c r="G52" s="72">
        <f>700000+300000</f>
        <v>1000000</v>
      </c>
      <c r="H52" s="72"/>
      <c r="I52" s="72"/>
      <c r="J52" s="73">
        <f>K52+L52+M52</f>
        <v>500000</v>
      </c>
      <c r="K52" s="72">
        <f>500000</f>
        <v>500000</v>
      </c>
      <c r="L52" s="72"/>
      <c r="M52" s="72"/>
      <c r="N52" s="74">
        <f>O52+P52+Q52</f>
        <v>500000</v>
      </c>
      <c r="O52" s="72">
        <v>500000</v>
      </c>
      <c r="P52" s="72"/>
      <c r="Q52" s="72"/>
      <c r="R52" s="72"/>
      <c r="S52" s="72"/>
      <c r="T52" s="72">
        <f t="shared" ref="T52:T53" si="19">J52-N52</f>
        <v>0</v>
      </c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0"/>
      <c r="AH52" s="20"/>
      <c r="AI52" s="20"/>
      <c r="AJ52" s="20"/>
      <c r="AK52" s="20"/>
      <c r="AL52" s="20"/>
      <c r="AM52" s="20"/>
      <c r="AN52" s="21"/>
    </row>
    <row r="53" spans="1:247" s="26" customFormat="1" ht="259.5" customHeight="1" x14ac:dyDescent="0.4">
      <c r="A53" s="227"/>
      <c r="B53" s="146"/>
      <c r="C53" s="150">
        <v>3143</v>
      </c>
      <c r="D53" s="69"/>
      <c r="E53" s="70" t="s">
        <v>98</v>
      </c>
      <c r="F53" s="71">
        <f>G53+H53+I53</f>
        <v>10000</v>
      </c>
      <c r="G53" s="72">
        <v>10000</v>
      </c>
      <c r="H53" s="72"/>
      <c r="I53" s="72"/>
      <c r="J53" s="73">
        <f>K53+L53+M53</f>
        <v>0</v>
      </c>
      <c r="K53" s="72"/>
      <c r="L53" s="72"/>
      <c r="M53" s="72"/>
      <c r="N53" s="74">
        <f>O53+P53+Q53</f>
        <v>0</v>
      </c>
      <c r="O53" s="72"/>
      <c r="P53" s="72"/>
      <c r="Q53" s="72"/>
      <c r="R53" s="72"/>
      <c r="S53" s="72"/>
      <c r="T53" s="72">
        <f t="shared" si="19"/>
        <v>0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0"/>
      <c r="AH53" s="20"/>
      <c r="AI53" s="20"/>
      <c r="AJ53" s="20"/>
      <c r="AK53" s="20"/>
      <c r="AL53" s="20"/>
      <c r="AM53" s="20"/>
      <c r="AN53" s="21"/>
    </row>
    <row r="54" spans="1:247" ht="59.25" customHeight="1" x14ac:dyDescent="0.4">
      <c r="A54" s="119" t="s">
        <v>36</v>
      </c>
      <c r="B54" s="120"/>
      <c r="C54" s="66"/>
      <c r="D54" s="67"/>
      <c r="E54" s="60"/>
      <c r="F54" s="60">
        <f>SUM(F51:F53)</f>
        <v>8510000</v>
      </c>
      <c r="G54" s="60">
        <f t="shared" ref="G54:T54" si="20">SUM(G51:G53)</f>
        <v>5010000</v>
      </c>
      <c r="H54" s="60">
        <f t="shared" si="20"/>
        <v>0</v>
      </c>
      <c r="I54" s="60">
        <f t="shared" si="20"/>
        <v>3500000</v>
      </c>
      <c r="J54" s="60">
        <f t="shared" si="20"/>
        <v>7979779.5800000001</v>
      </c>
      <c r="K54" s="60">
        <f t="shared" si="20"/>
        <v>4479779.58</v>
      </c>
      <c r="L54" s="60">
        <f t="shared" si="20"/>
        <v>0</v>
      </c>
      <c r="M54" s="60">
        <f t="shared" si="20"/>
        <v>3500000</v>
      </c>
      <c r="N54" s="60">
        <f t="shared" si="20"/>
        <v>7979779.5800000001</v>
      </c>
      <c r="O54" s="60">
        <f t="shared" si="20"/>
        <v>4479779.58</v>
      </c>
      <c r="P54" s="60">
        <f t="shared" si="20"/>
        <v>0</v>
      </c>
      <c r="Q54" s="60">
        <f t="shared" si="20"/>
        <v>3500000</v>
      </c>
      <c r="R54" s="60">
        <f t="shared" si="20"/>
        <v>0</v>
      </c>
      <c r="S54" s="60">
        <f t="shared" si="20"/>
        <v>0</v>
      </c>
      <c r="T54" s="60">
        <f t="shared" si="20"/>
        <v>0</v>
      </c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</row>
    <row r="55" spans="1:247" s="24" customFormat="1" ht="270.75" customHeight="1" x14ac:dyDescent="0.4">
      <c r="A55" s="225">
        <v>1517325</v>
      </c>
      <c r="B55" s="228"/>
      <c r="C55" s="68">
        <v>3142</v>
      </c>
      <c r="D55" s="69"/>
      <c r="E55" s="37" t="s">
        <v>39</v>
      </c>
      <c r="F55" s="71">
        <f>G55+H55+I55</f>
        <v>3347100</v>
      </c>
      <c r="G55" s="72">
        <v>3347100</v>
      </c>
      <c r="H55" s="72"/>
      <c r="I55" s="72"/>
      <c r="J55" s="75">
        <f t="shared" ref="J55:J58" si="21">K55+L55+M55</f>
        <v>2910883.09</v>
      </c>
      <c r="K55" s="72">
        <f>1036573.99+841259.81+77076.82+667615.26+239812.33+8544+40000.88</f>
        <v>2910883.09</v>
      </c>
      <c r="L55" s="72"/>
      <c r="M55" s="72"/>
      <c r="N55" s="74">
        <f t="shared" ref="N55:N58" si="22">O55+P55+Q55</f>
        <v>2910883.09</v>
      </c>
      <c r="O55" s="72">
        <f>1015435.42+21138.57+841259.81+18626.98+58449.84+13514.88+654100.38+4858.4+234953.93+8544+40000.88</f>
        <v>2910883.09</v>
      </c>
      <c r="P55" s="72"/>
      <c r="Q55" s="72"/>
      <c r="R55" s="72"/>
      <c r="S55" s="72"/>
      <c r="T55" s="72">
        <f>J55-N55</f>
        <v>0</v>
      </c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0"/>
      <c r="AH55" s="20"/>
      <c r="AI55" s="20"/>
      <c r="AJ55" s="20"/>
      <c r="AK55" s="20"/>
      <c r="AL55" s="20"/>
      <c r="AM55" s="20"/>
      <c r="AN55" s="21"/>
    </row>
    <row r="56" spans="1:247" s="24" customFormat="1" ht="213" hidden="1" customHeight="1" x14ac:dyDescent="0.4">
      <c r="A56" s="226"/>
      <c r="B56" s="229"/>
      <c r="C56" s="68">
        <v>3142</v>
      </c>
      <c r="D56" s="69">
        <v>422</v>
      </c>
      <c r="E56" s="123"/>
      <c r="F56" s="71">
        <f>G56+H56+I56</f>
        <v>0</v>
      </c>
      <c r="G56" s="72"/>
      <c r="H56" s="72"/>
      <c r="I56" s="72"/>
      <c r="J56" s="75">
        <f t="shared" si="21"/>
        <v>0</v>
      </c>
      <c r="K56" s="72"/>
      <c r="L56" s="72"/>
      <c r="M56" s="72"/>
      <c r="N56" s="74">
        <f t="shared" si="22"/>
        <v>0</v>
      </c>
      <c r="O56" s="72"/>
      <c r="P56" s="72"/>
      <c r="Q56" s="72"/>
      <c r="R56" s="72"/>
      <c r="S56" s="72"/>
      <c r="T56" s="72">
        <f t="shared" ref="T56:T58" si="23">J56-N56</f>
        <v>0</v>
      </c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0"/>
      <c r="AH56" s="20"/>
      <c r="AI56" s="20"/>
      <c r="AJ56" s="20"/>
      <c r="AK56" s="20"/>
      <c r="AL56" s="20"/>
      <c r="AM56" s="20"/>
      <c r="AN56" s="21"/>
    </row>
    <row r="57" spans="1:247" s="24" customFormat="1" ht="260.25" customHeight="1" x14ac:dyDescent="0.4">
      <c r="A57" s="226"/>
      <c r="B57" s="229"/>
      <c r="C57" s="68">
        <v>3142</v>
      </c>
      <c r="D57" s="69"/>
      <c r="E57" s="70" t="s">
        <v>63</v>
      </c>
      <c r="F57" s="71">
        <f>G57+H57+I57</f>
        <v>428772</v>
      </c>
      <c r="G57" s="72">
        <v>428772</v>
      </c>
      <c r="H57" s="72"/>
      <c r="I57" s="72"/>
      <c r="J57" s="75">
        <f t="shared" si="21"/>
        <v>428772</v>
      </c>
      <c r="K57" s="72">
        <f>112875.88+182406+133490.12</f>
        <v>428772</v>
      </c>
      <c r="L57" s="72"/>
      <c r="M57" s="72"/>
      <c r="N57" s="74">
        <f t="shared" si="22"/>
        <v>428772</v>
      </c>
      <c r="O57" s="72">
        <f>112875.88+182406+133490.12</f>
        <v>428772</v>
      </c>
      <c r="P57" s="72"/>
      <c r="Q57" s="72"/>
      <c r="R57" s="72"/>
      <c r="S57" s="72"/>
      <c r="T57" s="72">
        <f t="shared" si="23"/>
        <v>0</v>
      </c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0"/>
      <c r="AH57" s="20"/>
      <c r="AI57" s="20"/>
      <c r="AJ57" s="20"/>
      <c r="AK57" s="20"/>
      <c r="AL57" s="20"/>
      <c r="AM57" s="20"/>
      <c r="AN57" s="21"/>
    </row>
    <row r="58" spans="1:247" s="24" customFormat="1" ht="317.25" customHeight="1" x14ac:dyDescent="0.4">
      <c r="A58" s="227"/>
      <c r="B58" s="230"/>
      <c r="C58" s="68">
        <v>3142</v>
      </c>
      <c r="D58" s="69"/>
      <c r="E58" s="70" t="s">
        <v>81</v>
      </c>
      <c r="F58" s="71">
        <f>G58+H58+I58</f>
        <v>10000</v>
      </c>
      <c r="G58" s="72">
        <v>10000</v>
      </c>
      <c r="H58" s="72"/>
      <c r="I58" s="72"/>
      <c r="J58" s="75">
        <f t="shared" si="21"/>
        <v>0</v>
      </c>
      <c r="K58" s="72">
        <v>0</v>
      </c>
      <c r="L58" s="72"/>
      <c r="M58" s="72"/>
      <c r="N58" s="74">
        <f t="shared" si="22"/>
        <v>0</v>
      </c>
      <c r="O58" s="72">
        <v>0</v>
      </c>
      <c r="P58" s="72"/>
      <c r="Q58" s="72"/>
      <c r="R58" s="72"/>
      <c r="S58" s="72"/>
      <c r="T58" s="72">
        <f t="shared" si="23"/>
        <v>0</v>
      </c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0"/>
      <c r="AH58" s="20"/>
      <c r="AI58" s="20"/>
      <c r="AJ58" s="20"/>
      <c r="AK58" s="20"/>
      <c r="AL58" s="20"/>
      <c r="AM58" s="20"/>
      <c r="AN58" s="21"/>
    </row>
    <row r="59" spans="1:247" ht="54" customHeight="1" x14ac:dyDescent="0.4">
      <c r="A59" s="119" t="s">
        <v>38</v>
      </c>
      <c r="B59" s="120"/>
      <c r="C59" s="66"/>
      <c r="D59" s="67"/>
      <c r="E59" s="60"/>
      <c r="F59" s="60">
        <f>SUM(F55:F58)</f>
        <v>3785872</v>
      </c>
      <c r="G59" s="60">
        <f t="shared" ref="G59:T59" si="24">SUM(G55:G58)</f>
        <v>3785872</v>
      </c>
      <c r="H59" s="60">
        <f t="shared" si="24"/>
        <v>0</v>
      </c>
      <c r="I59" s="60">
        <f t="shared" si="24"/>
        <v>0</v>
      </c>
      <c r="J59" s="60">
        <f t="shared" si="24"/>
        <v>3339655.09</v>
      </c>
      <c r="K59" s="60">
        <f t="shared" si="24"/>
        <v>3339655.09</v>
      </c>
      <c r="L59" s="60">
        <f t="shared" si="24"/>
        <v>0</v>
      </c>
      <c r="M59" s="60">
        <f t="shared" si="24"/>
        <v>0</v>
      </c>
      <c r="N59" s="60">
        <f t="shared" si="24"/>
        <v>3339655.09</v>
      </c>
      <c r="O59" s="60">
        <f t="shared" si="24"/>
        <v>3339655.09</v>
      </c>
      <c r="P59" s="60">
        <f t="shared" si="24"/>
        <v>0</v>
      </c>
      <c r="Q59" s="60">
        <f t="shared" si="24"/>
        <v>0</v>
      </c>
      <c r="R59" s="60">
        <f t="shared" si="24"/>
        <v>0</v>
      </c>
      <c r="S59" s="60">
        <f t="shared" si="24"/>
        <v>0</v>
      </c>
      <c r="T59" s="60">
        <f t="shared" si="24"/>
        <v>0</v>
      </c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</row>
    <row r="60" spans="1:247" s="7" customFormat="1" ht="50.25" customHeight="1" x14ac:dyDescent="0.4">
      <c r="A60" s="116" t="s">
        <v>18</v>
      </c>
      <c r="B60" s="117"/>
      <c r="C60" s="59"/>
      <c r="D60" s="76"/>
      <c r="E60" s="59"/>
      <c r="F60" s="59">
        <f>F29+F48+F50+F54+F59</f>
        <v>26973772</v>
      </c>
      <c r="G60" s="59">
        <f t="shared" ref="G60:T60" si="25">G29+G48+G50+G54+G59</f>
        <v>23473772</v>
      </c>
      <c r="H60" s="59">
        <f t="shared" si="25"/>
        <v>0</v>
      </c>
      <c r="I60" s="59">
        <f t="shared" si="25"/>
        <v>3500000</v>
      </c>
      <c r="J60" s="59">
        <f t="shared" si="25"/>
        <v>23235364.48</v>
      </c>
      <c r="K60" s="59">
        <f t="shared" si="25"/>
        <v>19735364.48</v>
      </c>
      <c r="L60" s="59">
        <f t="shared" si="25"/>
        <v>0</v>
      </c>
      <c r="M60" s="59">
        <f t="shared" si="25"/>
        <v>3500000</v>
      </c>
      <c r="N60" s="59">
        <f t="shared" si="25"/>
        <v>23235364.48</v>
      </c>
      <c r="O60" s="59">
        <f t="shared" si="25"/>
        <v>19735364.48</v>
      </c>
      <c r="P60" s="59">
        <f t="shared" si="25"/>
        <v>0</v>
      </c>
      <c r="Q60" s="59">
        <f t="shared" si="25"/>
        <v>3500000</v>
      </c>
      <c r="R60" s="59">
        <f t="shared" si="25"/>
        <v>0</v>
      </c>
      <c r="S60" s="59">
        <f t="shared" si="25"/>
        <v>0</v>
      </c>
      <c r="T60" s="59">
        <f t="shared" si="25"/>
        <v>0</v>
      </c>
      <c r="AG60" s="6"/>
      <c r="AH60" s="6"/>
      <c r="AI60" s="6"/>
      <c r="AJ60" s="6"/>
      <c r="AK60" s="6"/>
      <c r="AL60" s="6"/>
      <c r="AM60" s="6"/>
      <c r="AN60" s="1"/>
    </row>
    <row r="61" spans="1:247" s="28" customFormat="1" ht="307.5" customHeight="1" x14ac:dyDescent="0.4">
      <c r="A61" s="204">
        <v>1517330</v>
      </c>
      <c r="B61" s="205"/>
      <c r="C61" s="77">
        <v>3122</v>
      </c>
      <c r="D61" s="78">
        <v>429</v>
      </c>
      <c r="E61" s="38" t="s">
        <v>62</v>
      </c>
      <c r="F61" s="124">
        <f>SUM(G61:I61)</f>
        <v>4874800</v>
      </c>
      <c r="G61" s="79">
        <f>4874800</f>
        <v>4874800</v>
      </c>
      <c r="H61" s="79"/>
      <c r="I61" s="79"/>
      <c r="J61" s="125">
        <f>K61+L61+M61</f>
        <v>4869871.97</v>
      </c>
      <c r="K61" s="79">
        <f>77406+4733.43+612900+734.69+11000+489.6+189000+8400+399810+91.8+411220.8+431751.39+375750.96+2078679.43+63147.9+204755.97</f>
        <v>4869871.97</v>
      </c>
      <c r="L61" s="79">
        <f>1638230-1638230</f>
        <v>0</v>
      </c>
      <c r="M61" s="79"/>
      <c r="N61" s="80">
        <f>O61+P61+Q61</f>
        <v>4869871.97</v>
      </c>
      <c r="O61" s="79">
        <f>48390+29016+4733.43+734.69+612900+11000+489.6+189000+8400+399810+91.8+171380.16+3327.63+231930.19+4582.82+8533.12+423218.27+6870.74+368880.22+41516.91+2037162.52+1270.41+61877.49+204755.97</f>
        <v>4869871.97</v>
      </c>
      <c r="P61" s="79"/>
      <c r="Q61" s="81"/>
      <c r="R61" s="79"/>
      <c r="S61" s="79"/>
      <c r="T61" s="79">
        <f>J61-N61</f>
        <v>0</v>
      </c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7"/>
      <c r="AH61" s="27"/>
      <c r="AI61" s="27"/>
      <c r="AJ61" s="27"/>
      <c r="AK61" s="27"/>
      <c r="AL61" s="27"/>
      <c r="AM61" s="27"/>
    </row>
    <row r="62" spans="1:247" s="28" customFormat="1" ht="354.75" customHeight="1" x14ac:dyDescent="0.4">
      <c r="A62" s="206"/>
      <c r="B62" s="207"/>
      <c r="C62" s="77">
        <v>3143</v>
      </c>
      <c r="D62" s="78"/>
      <c r="E62" s="38" t="s">
        <v>73</v>
      </c>
      <c r="F62" s="124">
        <f>SUM(G62:I62)</f>
        <v>700000</v>
      </c>
      <c r="G62" s="79">
        <v>700000</v>
      </c>
      <c r="H62" s="79"/>
      <c r="I62" s="79"/>
      <c r="J62" s="125">
        <f>K62+L62+M62</f>
        <v>0</v>
      </c>
      <c r="K62" s="79"/>
      <c r="L62" s="79"/>
      <c r="M62" s="79"/>
      <c r="N62" s="80">
        <f>O62+P62+Q62</f>
        <v>0</v>
      </c>
      <c r="O62" s="79"/>
      <c r="P62" s="79"/>
      <c r="Q62" s="81"/>
      <c r="R62" s="79"/>
      <c r="S62" s="79"/>
      <c r="T62" s="79">
        <f>J62-N62</f>
        <v>0</v>
      </c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7"/>
      <c r="AI62" s="27"/>
      <c r="AJ62" s="27"/>
      <c r="AK62" s="27"/>
      <c r="AL62" s="27"/>
      <c r="AM62" s="27"/>
    </row>
    <row r="63" spans="1:247" s="28" customFormat="1" ht="328.5" customHeight="1" x14ac:dyDescent="0.4">
      <c r="A63" s="206"/>
      <c r="B63" s="207"/>
      <c r="C63" s="77"/>
      <c r="D63" s="78"/>
      <c r="E63" s="35" t="s">
        <v>99</v>
      </c>
      <c r="F63" s="124">
        <f t="shared" ref="F63:F66" si="26">SUM(G63:I63)</f>
        <v>50000</v>
      </c>
      <c r="G63" s="79">
        <v>50000</v>
      </c>
      <c r="H63" s="79"/>
      <c r="I63" s="79"/>
      <c r="J63" s="125">
        <f t="shared" ref="J63:J66" si="27">K63+L63+M63</f>
        <v>0</v>
      </c>
      <c r="K63" s="79"/>
      <c r="L63" s="79"/>
      <c r="M63" s="79"/>
      <c r="N63" s="80">
        <f t="shared" ref="N63:N66" si="28">O63+P63+Q63</f>
        <v>0</v>
      </c>
      <c r="O63" s="79"/>
      <c r="P63" s="79"/>
      <c r="Q63" s="81"/>
      <c r="R63" s="79"/>
      <c r="S63" s="79"/>
      <c r="T63" s="79">
        <f t="shared" ref="T63:T66" si="29">J63-N63</f>
        <v>0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7"/>
      <c r="AH63" s="27"/>
      <c r="AI63" s="27"/>
      <c r="AJ63" s="27"/>
      <c r="AK63" s="27"/>
      <c r="AL63" s="27"/>
      <c r="AM63" s="27"/>
    </row>
    <row r="64" spans="1:247" s="28" customFormat="1" ht="328.5" customHeight="1" x14ac:dyDescent="0.4">
      <c r="A64" s="206"/>
      <c r="B64" s="207"/>
      <c r="C64" s="77"/>
      <c r="D64" s="78"/>
      <c r="E64" s="35" t="s">
        <v>100</v>
      </c>
      <c r="F64" s="124">
        <f t="shared" si="26"/>
        <v>15200</v>
      </c>
      <c r="G64" s="79">
        <v>15200</v>
      </c>
      <c r="H64" s="79"/>
      <c r="I64" s="79"/>
      <c r="J64" s="125">
        <f t="shared" si="27"/>
        <v>15166</v>
      </c>
      <c r="K64" s="79">
        <f>15166</f>
        <v>15166</v>
      </c>
      <c r="L64" s="79"/>
      <c r="M64" s="79"/>
      <c r="N64" s="80">
        <f t="shared" si="28"/>
        <v>15166</v>
      </c>
      <c r="O64" s="79">
        <f>15166</f>
        <v>15166</v>
      </c>
      <c r="P64" s="79"/>
      <c r="Q64" s="81"/>
      <c r="R64" s="79"/>
      <c r="S64" s="79"/>
      <c r="T64" s="79">
        <f t="shared" si="29"/>
        <v>0</v>
      </c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7"/>
      <c r="AH64" s="27"/>
      <c r="AI64" s="27"/>
      <c r="AJ64" s="27"/>
      <c r="AK64" s="27"/>
      <c r="AL64" s="27"/>
      <c r="AM64" s="27"/>
    </row>
    <row r="65" spans="1:40" s="28" customFormat="1" ht="328.5" customHeight="1" x14ac:dyDescent="0.4">
      <c r="A65" s="206"/>
      <c r="B65" s="207"/>
      <c r="C65" s="77"/>
      <c r="D65" s="78"/>
      <c r="E65" s="35" t="s">
        <v>101</v>
      </c>
      <c r="F65" s="124">
        <f t="shared" si="26"/>
        <v>50000</v>
      </c>
      <c r="G65" s="79">
        <v>50000</v>
      </c>
      <c r="H65" s="79"/>
      <c r="I65" s="79"/>
      <c r="J65" s="125">
        <f t="shared" si="27"/>
        <v>49968</v>
      </c>
      <c r="K65" s="79">
        <f>49968</f>
        <v>49968</v>
      </c>
      <c r="L65" s="79"/>
      <c r="M65" s="79"/>
      <c r="N65" s="80">
        <f t="shared" si="28"/>
        <v>49968</v>
      </c>
      <c r="O65" s="79">
        <f>49968</f>
        <v>49968</v>
      </c>
      <c r="P65" s="79"/>
      <c r="Q65" s="81"/>
      <c r="R65" s="79"/>
      <c r="S65" s="79"/>
      <c r="T65" s="79">
        <f t="shared" si="29"/>
        <v>0</v>
      </c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7"/>
      <c r="AH65" s="27"/>
      <c r="AI65" s="27"/>
      <c r="AJ65" s="27"/>
      <c r="AK65" s="27"/>
      <c r="AL65" s="27"/>
      <c r="AM65" s="27"/>
    </row>
    <row r="66" spans="1:40" s="28" customFormat="1" ht="265.5" customHeight="1" x14ac:dyDescent="0.4">
      <c r="A66" s="208"/>
      <c r="B66" s="209"/>
      <c r="C66" s="77"/>
      <c r="D66" s="78"/>
      <c r="E66" s="35" t="s">
        <v>102</v>
      </c>
      <c r="F66" s="124">
        <f t="shared" si="26"/>
        <v>50000</v>
      </c>
      <c r="G66" s="79">
        <v>50000</v>
      </c>
      <c r="H66" s="79"/>
      <c r="I66" s="79"/>
      <c r="J66" s="125">
        <f t="shared" si="27"/>
        <v>49500</v>
      </c>
      <c r="K66" s="79">
        <f>49500</f>
        <v>49500</v>
      </c>
      <c r="L66" s="79"/>
      <c r="M66" s="79"/>
      <c r="N66" s="80">
        <f t="shared" si="28"/>
        <v>49500</v>
      </c>
      <c r="O66" s="79">
        <f>49500</f>
        <v>49500</v>
      </c>
      <c r="P66" s="79"/>
      <c r="Q66" s="81"/>
      <c r="R66" s="79"/>
      <c r="S66" s="79"/>
      <c r="T66" s="79">
        <f t="shared" si="29"/>
        <v>0</v>
      </c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7"/>
      <c r="AI66" s="27"/>
      <c r="AJ66" s="27"/>
      <c r="AK66" s="27"/>
      <c r="AL66" s="27"/>
      <c r="AM66" s="27"/>
    </row>
    <row r="67" spans="1:40" s="18" customFormat="1" ht="57.75" customHeight="1" x14ac:dyDescent="0.4">
      <c r="A67" s="116" t="s">
        <v>40</v>
      </c>
      <c r="B67" s="117"/>
      <c r="C67" s="116"/>
      <c r="D67" s="118"/>
      <c r="E67" s="117"/>
      <c r="F67" s="59">
        <f>SUM(F61:F66)</f>
        <v>5740000</v>
      </c>
      <c r="G67" s="59">
        <f t="shared" ref="G67:T67" si="30">SUM(G61:G66)</f>
        <v>5740000</v>
      </c>
      <c r="H67" s="59">
        <f t="shared" si="30"/>
        <v>0</v>
      </c>
      <c r="I67" s="59">
        <f t="shared" si="30"/>
        <v>0</v>
      </c>
      <c r="J67" s="59">
        <f t="shared" si="30"/>
        <v>4984505.97</v>
      </c>
      <c r="K67" s="59">
        <f t="shared" si="30"/>
        <v>4984505.97</v>
      </c>
      <c r="L67" s="59">
        <f t="shared" si="30"/>
        <v>0</v>
      </c>
      <c r="M67" s="59">
        <f t="shared" si="30"/>
        <v>0</v>
      </c>
      <c r="N67" s="59">
        <f t="shared" si="30"/>
        <v>4984505.97</v>
      </c>
      <c r="O67" s="59">
        <f t="shared" si="30"/>
        <v>4984505.97</v>
      </c>
      <c r="P67" s="59">
        <f t="shared" si="30"/>
        <v>0</v>
      </c>
      <c r="Q67" s="59">
        <f t="shared" si="30"/>
        <v>0</v>
      </c>
      <c r="R67" s="59">
        <f t="shared" si="30"/>
        <v>0</v>
      </c>
      <c r="S67" s="59">
        <f t="shared" si="30"/>
        <v>0</v>
      </c>
      <c r="T67" s="59">
        <f t="shared" si="30"/>
        <v>0</v>
      </c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17"/>
      <c r="AH67" s="17"/>
      <c r="AI67" s="17"/>
      <c r="AJ67" s="17"/>
      <c r="AK67" s="17"/>
      <c r="AL67" s="17"/>
      <c r="AM67" s="17"/>
    </row>
    <row r="68" spans="1:40" s="7" customFormat="1" ht="154.5" customHeight="1" x14ac:dyDescent="0.4">
      <c r="A68" s="192">
        <v>1517360</v>
      </c>
      <c r="B68" s="210">
        <v>1517361</v>
      </c>
      <c r="C68" s="64">
        <v>3122</v>
      </c>
      <c r="D68" s="65">
        <v>419</v>
      </c>
      <c r="E68" s="37" t="s">
        <v>50</v>
      </c>
      <c r="F68" s="82">
        <f>SUM(G68:I68)</f>
        <v>959239</v>
      </c>
      <c r="G68" s="83"/>
      <c r="H68" s="83"/>
      <c r="I68" s="83">
        <v>959239</v>
      </c>
      <c r="J68" s="84">
        <f>SUM(K68+L68+M68)</f>
        <v>954516.19</v>
      </c>
      <c r="K68" s="85"/>
      <c r="L68" s="85"/>
      <c r="M68" s="83">
        <f>255301.12+165364.07+81136.76+151516.17+179373.75+5346+69478.32+47000</f>
        <v>954516.19</v>
      </c>
      <c r="N68" s="86">
        <f>O68+P68+Q68</f>
        <v>954516.19000000006</v>
      </c>
      <c r="O68" s="85"/>
      <c r="P68" s="85"/>
      <c r="Q68" s="83">
        <f>255301.12+3248.52+162115.55+1592.52+79544.24+7967.96+143548.21+3323.31+166016.29+10034.15+5346+25000+44478.32+47000</f>
        <v>954516.19000000006</v>
      </c>
      <c r="R68" s="85"/>
      <c r="S68" s="85"/>
      <c r="T68" s="55">
        <f>J68-N68</f>
        <v>0</v>
      </c>
      <c r="AG68" s="6"/>
      <c r="AH68" s="6"/>
      <c r="AI68" s="6"/>
      <c r="AJ68" s="6"/>
      <c r="AK68" s="6"/>
      <c r="AL68" s="6"/>
      <c r="AM68" s="6"/>
      <c r="AN68" s="1"/>
    </row>
    <row r="69" spans="1:40" s="7" customFormat="1" ht="154.5" customHeight="1" x14ac:dyDescent="0.4">
      <c r="A69" s="190"/>
      <c r="B69" s="211"/>
      <c r="C69" s="64">
        <v>3122</v>
      </c>
      <c r="D69" s="65">
        <v>421</v>
      </c>
      <c r="E69" s="37" t="s">
        <v>51</v>
      </c>
      <c r="F69" s="82">
        <f t="shared" ref="F69:F79" si="31">SUM(G69:I69)</f>
        <v>395491</v>
      </c>
      <c r="G69" s="83"/>
      <c r="H69" s="83"/>
      <c r="I69" s="83">
        <f>195291+200200</f>
        <v>395491</v>
      </c>
      <c r="J69" s="84">
        <f t="shared" ref="J69:J79" si="32">SUM(K69+L69+M69)</f>
        <v>191593.47000000003</v>
      </c>
      <c r="K69" s="85"/>
      <c r="L69" s="85"/>
      <c r="M69" s="83">
        <f>56878.5+42106.32+21199.52+51392.62+20016.51</f>
        <v>191593.47000000003</v>
      </c>
      <c r="N69" s="86">
        <f t="shared" ref="N69:N79" si="33">O69+P69+Q69</f>
        <v>191593.47000000003</v>
      </c>
      <c r="O69" s="85"/>
      <c r="P69" s="85"/>
      <c r="Q69" s="83">
        <f>56878.5+820.05+41286.27+1520.33+19679.19+995.88+50396.74+20016.51</f>
        <v>191593.47000000003</v>
      </c>
      <c r="R69" s="85"/>
      <c r="S69" s="85"/>
      <c r="T69" s="55">
        <f t="shared" ref="T69:T79" si="34">J69-N69</f>
        <v>0</v>
      </c>
      <c r="AG69" s="6"/>
      <c r="AH69" s="6"/>
      <c r="AI69" s="6"/>
      <c r="AJ69" s="6"/>
      <c r="AK69" s="6"/>
      <c r="AL69" s="6"/>
      <c r="AM69" s="6"/>
      <c r="AN69" s="1"/>
    </row>
    <row r="70" spans="1:40" s="7" customFormat="1" ht="275.25" customHeight="1" x14ac:dyDescent="0.4">
      <c r="A70" s="190"/>
      <c r="B70" s="211"/>
      <c r="C70" s="64">
        <v>3132</v>
      </c>
      <c r="D70" s="65">
        <v>426</v>
      </c>
      <c r="E70" s="37" t="s">
        <v>52</v>
      </c>
      <c r="F70" s="82">
        <f t="shared" si="31"/>
        <v>1353256</v>
      </c>
      <c r="G70" s="83"/>
      <c r="H70" s="83"/>
      <c r="I70" s="83">
        <v>1353256</v>
      </c>
      <c r="J70" s="84">
        <f t="shared" si="32"/>
        <v>1347484.22</v>
      </c>
      <c r="K70" s="85"/>
      <c r="L70" s="85"/>
      <c r="M70" s="83">
        <f>394135.8+31282.29+0.54+207924.54+4200+13453.74+137694.71+19895.19+285579.02+249697.13+2480+1141.26</f>
        <v>1347484.22</v>
      </c>
      <c r="N70" s="86">
        <f t="shared" si="33"/>
        <v>1347484.2200000002</v>
      </c>
      <c r="O70" s="85"/>
      <c r="P70" s="85"/>
      <c r="Q70" s="83">
        <f>383482.44+31282.83+12060.34+206517.56+4200+13190+263.74+2694.71+135000+395.34+19499.85+5579.02+280000+4260.85+245436.28+2480+1141.26</f>
        <v>1347484.2200000002</v>
      </c>
      <c r="R70" s="85"/>
      <c r="S70" s="85"/>
      <c r="T70" s="55">
        <f t="shared" si="34"/>
        <v>0</v>
      </c>
      <c r="AG70" s="6"/>
      <c r="AH70" s="6"/>
      <c r="AI70" s="6"/>
      <c r="AJ70" s="6"/>
      <c r="AK70" s="6"/>
      <c r="AL70" s="6"/>
      <c r="AM70" s="6"/>
      <c r="AN70" s="1"/>
    </row>
    <row r="71" spans="1:40" s="7" customFormat="1" ht="275.25" customHeight="1" x14ac:dyDescent="0.4">
      <c r="A71" s="190"/>
      <c r="B71" s="211"/>
      <c r="C71" s="64">
        <v>3132</v>
      </c>
      <c r="D71" s="65"/>
      <c r="E71" s="37" t="s">
        <v>54</v>
      </c>
      <c r="F71" s="82">
        <f t="shared" si="31"/>
        <v>684378</v>
      </c>
      <c r="G71" s="83"/>
      <c r="H71" s="83"/>
      <c r="I71" s="83">
        <v>684378</v>
      </c>
      <c r="J71" s="84">
        <f t="shared" si="32"/>
        <v>684377.99999999988</v>
      </c>
      <c r="K71" s="85"/>
      <c r="L71" s="85"/>
      <c r="M71" s="83">
        <f>196179.6+970.98+25565.39+150233.53+158884.35+42762.72+109621.21+160.22</f>
        <v>684377.99999999988</v>
      </c>
      <c r="N71" s="86">
        <f t="shared" si="33"/>
        <v>684378</v>
      </c>
      <c r="O71" s="85"/>
      <c r="P71" s="85"/>
      <c r="Q71" s="83">
        <f>196179.6+970.98+1564.67+24000.72+2992.21+51922+1408.58+69331.92+3649.53+179813.64+42762.72+2167.97+107453.24+160.22</f>
        <v>684378</v>
      </c>
      <c r="R71" s="85"/>
      <c r="S71" s="85"/>
      <c r="T71" s="55">
        <f t="shared" si="34"/>
        <v>0</v>
      </c>
      <c r="AG71" s="6"/>
      <c r="AH71" s="6"/>
      <c r="AI71" s="6"/>
      <c r="AJ71" s="6"/>
      <c r="AK71" s="6"/>
      <c r="AL71" s="6"/>
      <c r="AM71" s="6"/>
      <c r="AN71" s="1"/>
    </row>
    <row r="72" spans="1:40" s="7" customFormat="1" ht="215.25" customHeight="1" x14ac:dyDescent="0.4">
      <c r="A72" s="190"/>
      <c r="B72" s="211"/>
      <c r="C72" s="64">
        <v>3132</v>
      </c>
      <c r="D72" s="65">
        <v>414</v>
      </c>
      <c r="E72" s="37" t="s">
        <v>53</v>
      </c>
      <c r="F72" s="82">
        <f t="shared" si="31"/>
        <v>11426662</v>
      </c>
      <c r="G72" s="83">
        <v>10000000</v>
      </c>
      <c r="H72" s="83"/>
      <c r="I72" s="83">
        <v>1426662</v>
      </c>
      <c r="J72" s="84">
        <f t="shared" si="32"/>
        <v>8137088.0600000005</v>
      </c>
      <c r="K72" s="83">
        <f>4928816.79+2048843.69</f>
        <v>6977660.4800000004</v>
      </c>
      <c r="L72" s="85"/>
      <c r="M72" s="83">
        <f>410361.55+195717.59+112969.72+13000+303364.69+2373+121641.03</f>
        <v>1159427.58</v>
      </c>
      <c r="N72" s="86">
        <f t="shared" si="33"/>
        <v>8137088.0599999996</v>
      </c>
      <c r="O72" s="83">
        <f>98869.29+4829947.5+40060.93+2008782.76</f>
        <v>6977660.4799999995</v>
      </c>
      <c r="P72" s="85"/>
      <c r="Q72" s="83">
        <f>410361.55+195717.59+1352.62+111617.1+13000+1322.59+109047.35+2351.28+190643.47+2373+40657.5+80983.53</f>
        <v>1159427.5799999998</v>
      </c>
      <c r="R72" s="85"/>
      <c r="S72" s="85"/>
      <c r="T72" s="55">
        <f t="shared" si="34"/>
        <v>0</v>
      </c>
      <c r="AG72" s="6"/>
      <c r="AH72" s="6"/>
      <c r="AI72" s="6"/>
      <c r="AJ72" s="6"/>
      <c r="AK72" s="6"/>
      <c r="AL72" s="6"/>
      <c r="AM72" s="6"/>
      <c r="AN72" s="1"/>
    </row>
    <row r="73" spans="1:40" s="7" customFormat="1" ht="206.25" hidden="1" customHeight="1" x14ac:dyDescent="0.4">
      <c r="A73" s="190"/>
      <c r="B73" s="211"/>
      <c r="C73" s="64"/>
      <c r="D73" s="65">
        <v>425</v>
      </c>
      <c r="E73" s="37"/>
      <c r="F73" s="82">
        <f t="shared" si="31"/>
        <v>0</v>
      </c>
      <c r="G73" s="83"/>
      <c r="H73" s="83"/>
      <c r="I73" s="83"/>
      <c r="J73" s="84">
        <f t="shared" si="32"/>
        <v>0</v>
      </c>
      <c r="K73" s="85"/>
      <c r="L73" s="85"/>
      <c r="M73" s="85"/>
      <c r="N73" s="86">
        <f t="shared" si="33"/>
        <v>0</v>
      </c>
      <c r="O73" s="85"/>
      <c r="P73" s="85"/>
      <c r="Q73" s="85"/>
      <c r="R73" s="85"/>
      <c r="S73" s="85"/>
      <c r="T73" s="55">
        <f t="shared" si="34"/>
        <v>0</v>
      </c>
      <c r="AG73" s="6"/>
      <c r="AH73" s="6"/>
      <c r="AI73" s="6"/>
      <c r="AJ73" s="6"/>
      <c r="AK73" s="6"/>
      <c r="AL73" s="6"/>
      <c r="AM73" s="6"/>
      <c r="AN73" s="1"/>
    </row>
    <row r="74" spans="1:40" s="7" customFormat="1" ht="204" customHeight="1" x14ac:dyDescent="0.4">
      <c r="A74" s="190"/>
      <c r="B74" s="211"/>
      <c r="C74" s="64">
        <v>3142</v>
      </c>
      <c r="D74" s="65">
        <v>416</v>
      </c>
      <c r="E74" s="37" t="s">
        <v>55</v>
      </c>
      <c r="F74" s="82">
        <f t="shared" si="31"/>
        <v>1666667</v>
      </c>
      <c r="G74" s="83">
        <v>1666667</v>
      </c>
      <c r="H74" s="83"/>
      <c r="I74" s="83" t="s">
        <v>28</v>
      </c>
      <c r="J74" s="84">
        <f t="shared" si="32"/>
        <v>1666166.4000000004</v>
      </c>
      <c r="K74" s="83">
        <f>572294.53+468247.84+11745+64550.05+118139.73+3910.32+92028.45+50136.62+146526.94+121912.81+16674.11</f>
        <v>1666166.4000000004</v>
      </c>
      <c r="L74" s="85"/>
      <c r="M74" s="85"/>
      <c r="N74" s="86">
        <f>O74+P74+Q74</f>
        <v>1666166.4000000004</v>
      </c>
      <c r="O74" s="83">
        <f>572294.53+468247.84+11745+63350.26+1199.79+2388.9+115750.83+2786.45+8472.29+84680.03+50136.62+2865.66+143661.28+1978.33+5810.47+114124.01+331.07+16343.04</f>
        <v>1666166.4000000004</v>
      </c>
      <c r="P74" s="85"/>
      <c r="Q74" s="85"/>
      <c r="R74" s="85"/>
      <c r="S74" s="85"/>
      <c r="T74" s="55">
        <f t="shared" si="34"/>
        <v>0</v>
      </c>
      <c r="AG74" s="6"/>
      <c r="AH74" s="6"/>
      <c r="AI74" s="6"/>
      <c r="AJ74" s="6"/>
      <c r="AK74" s="6"/>
      <c r="AL74" s="6"/>
      <c r="AM74" s="6"/>
      <c r="AN74" s="1"/>
    </row>
    <row r="75" spans="1:40" s="7" customFormat="1" ht="204" customHeight="1" x14ac:dyDescent="0.4">
      <c r="A75" s="190"/>
      <c r="B75" s="211"/>
      <c r="C75" s="64">
        <v>3142</v>
      </c>
      <c r="D75" s="65"/>
      <c r="E75" s="37" t="s">
        <v>58</v>
      </c>
      <c r="F75" s="82">
        <f t="shared" si="31"/>
        <v>999720</v>
      </c>
      <c r="G75" s="83"/>
      <c r="H75" s="83"/>
      <c r="I75" s="83">
        <f>799720+200000</f>
        <v>999720</v>
      </c>
      <c r="J75" s="84">
        <f t="shared" si="32"/>
        <v>997257.32000000007</v>
      </c>
      <c r="K75" s="83"/>
      <c r="L75" s="85"/>
      <c r="M75" s="83">
        <f>216428.57+166359.32+16613+340.4+1872.95+34746.68+3228.65+56071.14+336732.15+164864.46</f>
        <v>997257.32000000007</v>
      </c>
      <c r="N75" s="86">
        <f t="shared" si="33"/>
        <v>997257.32000000007</v>
      </c>
      <c r="O75" s="83">
        <v>0</v>
      </c>
      <c r="P75" s="83">
        <v>0</v>
      </c>
      <c r="Q75" s="83">
        <f>216428.57+1265.36+165093.96+16613+340.4+34746.68+5101.6+1071.14+55000+4623.82+295117.79+1114+200741</f>
        <v>997257.32000000007</v>
      </c>
      <c r="R75" s="85"/>
      <c r="S75" s="85"/>
      <c r="T75" s="55">
        <f>J75-N75</f>
        <v>0</v>
      </c>
      <c r="AG75" s="6"/>
      <c r="AH75" s="6"/>
      <c r="AI75" s="6"/>
      <c r="AJ75" s="6"/>
      <c r="AK75" s="6"/>
      <c r="AL75" s="6"/>
      <c r="AM75" s="6"/>
      <c r="AN75" s="1"/>
    </row>
    <row r="76" spans="1:40" s="7" customFormat="1" ht="209.25" customHeight="1" x14ac:dyDescent="0.4">
      <c r="A76" s="190"/>
      <c r="B76" s="211"/>
      <c r="C76" s="64">
        <v>3142</v>
      </c>
      <c r="D76" s="65">
        <v>420</v>
      </c>
      <c r="E76" s="87" t="s">
        <v>56</v>
      </c>
      <c r="F76" s="82">
        <f t="shared" si="31"/>
        <v>432650</v>
      </c>
      <c r="G76" s="83"/>
      <c r="H76" s="83"/>
      <c r="I76" s="83">
        <v>432650</v>
      </c>
      <c r="J76" s="84">
        <f t="shared" si="32"/>
        <v>432650</v>
      </c>
      <c r="K76" s="83"/>
      <c r="L76" s="83"/>
      <c r="M76" s="83">
        <f>431783.67+866.33</f>
        <v>432650</v>
      </c>
      <c r="N76" s="86">
        <f t="shared" si="33"/>
        <v>432650</v>
      </c>
      <c r="O76" s="85"/>
      <c r="P76" s="85"/>
      <c r="Q76" s="83">
        <f>8377.06+423406.61+866.33</f>
        <v>432650</v>
      </c>
      <c r="R76" s="85"/>
      <c r="S76" s="85"/>
      <c r="T76" s="55">
        <f t="shared" si="34"/>
        <v>0</v>
      </c>
      <c r="AG76" s="6"/>
      <c r="AH76" s="6"/>
      <c r="AI76" s="6"/>
      <c r="AJ76" s="6"/>
      <c r="AK76" s="6"/>
      <c r="AL76" s="6"/>
      <c r="AM76" s="6"/>
      <c r="AN76" s="1"/>
    </row>
    <row r="77" spans="1:40" s="7" customFormat="1" ht="161.25" customHeight="1" x14ac:dyDescent="0.4">
      <c r="A77" s="190"/>
      <c r="B77" s="211"/>
      <c r="C77" s="64">
        <v>3142</v>
      </c>
      <c r="D77" s="65">
        <v>424</v>
      </c>
      <c r="E77" s="37" t="s">
        <v>57</v>
      </c>
      <c r="F77" s="82">
        <f t="shared" si="31"/>
        <v>1003686</v>
      </c>
      <c r="G77" s="83"/>
      <c r="H77" s="83"/>
      <c r="I77" s="83">
        <f>886236+117450</f>
        <v>1003686</v>
      </c>
      <c r="J77" s="84">
        <f t="shared" si="32"/>
        <v>995753.54</v>
      </c>
      <c r="K77" s="85"/>
      <c r="L77" s="85"/>
      <c r="M77" s="83">
        <f>257576.15+56339.61+96117.45+27629.54+149601.37+117450+43890.41+247149.01</f>
        <v>995753.54</v>
      </c>
      <c r="N77" s="86">
        <f t="shared" si="33"/>
        <v>995753.53999999992</v>
      </c>
      <c r="O77" s="85"/>
      <c r="P77" s="85"/>
      <c r="Q77" s="83">
        <f>257576.15+1735.54+54604.07+6041.39+28316.99+61759.07+618.3+27011.24+3424.55+146176.82+117450+1004.08+42886.33+6892.52+240256.49</f>
        <v>995753.53999999992</v>
      </c>
      <c r="R77" s="85"/>
      <c r="S77" s="85"/>
      <c r="T77" s="55">
        <f t="shared" si="34"/>
        <v>0</v>
      </c>
      <c r="AG77" s="6"/>
      <c r="AH77" s="6"/>
      <c r="AI77" s="6"/>
      <c r="AJ77" s="6"/>
      <c r="AK77" s="6"/>
      <c r="AL77" s="6"/>
      <c r="AM77" s="6"/>
      <c r="AN77" s="1"/>
    </row>
    <row r="78" spans="1:40" s="7" customFormat="1" ht="161.25" hidden="1" customHeight="1" x14ac:dyDescent="0.4">
      <c r="A78" s="190"/>
      <c r="B78" s="211"/>
      <c r="C78" s="64">
        <v>3142</v>
      </c>
      <c r="D78" s="65">
        <v>418</v>
      </c>
      <c r="E78" s="37"/>
      <c r="F78" s="82">
        <f t="shared" si="31"/>
        <v>0</v>
      </c>
      <c r="G78" s="83"/>
      <c r="H78" s="83"/>
      <c r="I78" s="83"/>
      <c r="J78" s="84">
        <f t="shared" si="32"/>
        <v>0</v>
      </c>
      <c r="K78" s="85"/>
      <c r="L78" s="85"/>
      <c r="M78" s="83"/>
      <c r="N78" s="86">
        <f t="shared" si="33"/>
        <v>0</v>
      </c>
      <c r="O78" s="85"/>
      <c r="P78" s="85"/>
      <c r="Q78" s="85"/>
      <c r="R78" s="85"/>
      <c r="S78" s="85"/>
      <c r="T78" s="55">
        <f t="shared" si="34"/>
        <v>0</v>
      </c>
      <c r="AG78" s="6"/>
      <c r="AH78" s="6"/>
      <c r="AI78" s="6"/>
      <c r="AJ78" s="6"/>
      <c r="AK78" s="6"/>
      <c r="AL78" s="6"/>
      <c r="AM78" s="6"/>
      <c r="AN78" s="1"/>
    </row>
    <row r="79" spans="1:40" s="7" customFormat="1" ht="106.5" customHeight="1" x14ac:dyDescent="0.4">
      <c r="A79" s="190"/>
      <c r="B79" s="212"/>
      <c r="C79" s="64">
        <v>3142</v>
      </c>
      <c r="D79" s="65"/>
      <c r="E79" s="37" t="s">
        <v>41</v>
      </c>
      <c r="F79" s="82">
        <f t="shared" si="31"/>
        <v>161</v>
      </c>
      <c r="G79" s="83">
        <v>161</v>
      </c>
      <c r="H79" s="83"/>
      <c r="I79" s="83"/>
      <c r="J79" s="84">
        <f t="shared" si="32"/>
        <v>0</v>
      </c>
      <c r="K79" s="85"/>
      <c r="L79" s="85"/>
      <c r="M79" s="85"/>
      <c r="N79" s="86">
        <f t="shared" si="33"/>
        <v>0</v>
      </c>
      <c r="O79" s="85"/>
      <c r="P79" s="85"/>
      <c r="Q79" s="85"/>
      <c r="R79" s="85"/>
      <c r="S79" s="85"/>
      <c r="T79" s="55">
        <f t="shared" si="34"/>
        <v>0</v>
      </c>
      <c r="AG79" s="6"/>
      <c r="AH79" s="6"/>
      <c r="AI79" s="6"/>
      <c r="AJ79" s="6"/>
      <c r="AK79" s="6"/>
      <c r="AL79" s="6"/>
      <c r="AM79" s="6"/>
      <c r="AN79" s="1"/>
    </row>
    <row r="80" spans="1:40" s="7" customFormat="1" ht="51.75" customHeight="1" x14ac:dyDescent="0.4">
      <c r="A80" s="190"/>
      <c r="B80" s="213" t="s">
        <v>42</v>
      </c>
      <c r="C80" s="214"/>
      <c r="D80" s="214"/>
      <c r="E80" s="215"/>
      <c r="F80" s="60">
        <f>SUM(F68:F79)</f>
        <v>18921910</v>
      </c>
      <c r="G80" s="60">
        <f t="shared" ref="G80:T80" si="35">SUM(G68:G79)</f>
        <v>11666828</v>
      </c>
      <c r="H80" s="60">
        <f t="shared" si="35"/>
        <v>0</v>
      </c>
      <c r="I80" s="60">
        <f>SUM(I68:I79)</f>
        <v>7255082</v>
      </c>
      <c r="J80" s="60">
        <f t="shared" si="35"/>
        <v>15406887.200000003</v>
      </c>
      <c r="K80" s="60">
        <f t="shared" si="35"/>
        <v>8643826.8800000008</v>
      </c>
      <c r="L80" s="60">
        <f t="shared" si="35"/>
        <v>0</v>
      </c>
      <c r="M80" s="60">
        <f t="shared" si="35"/>
        <v>6763060.3200000003</v>
      </c>
      <c r="N80" s="60">
        <f t="shared" si="35"/>
        <v>15406887.199999999</v>
      </c>
      <c r="O80" s="60">
        <f t="shared" si="35"/>
        <v>8643826.879999999</v>
      </c>
      <c r="P80" s="60">
        <f t="shared" si="35"/>
        <v>0</v>
      </c>
      <c r="Q80" s="60">
        <f t="shared" si="35"/>
        <v>6763060.3200000003</v>
      </c>
      <c r="R80" s="60">
        <f t="shared" si="35"/>
        <v>0</v>
      </c>
      <c r="S80" s="60">
        <f t="shared" si="35"/>
        <v>0</v>
      </c>
      <c r="T80" s="60">
        <f t="shared" si="35"/>
        <v>0</v>
      </c>
      <c r="AG80" s="6"/>
      <c r="AH80" s="6"/>
      <c r="AI80" s="6"/>
      <c r="AJ80" s="6"/>
      <c r="AK80" s="6"/>
      <c r="AL80" s="6"/>
      <c r="AM80" s="6"/>
      <c r="AN80" s="1"/>
    </row>
    <row r="81" spans="1:40" s="19" customFormat="1" ht="291" customHeight="1" x14ac:dyDescent="0.4">
      <c r="A81" s="190"/>
      <c r="B81" s="216">
        <v>1517363</v>
      </c>
      <c r="C81" s="144" t="s">
        <v>17</v>
      </c>
      <c r="D81" s="144" t="s">
        <v>93</v>
      </c>
      <c r="E81" s="37" t="s">
        <v>85</v>
      </c>
      <c r="F81" s="82">
        <f>SUM(G81:I81)</f>
        <v>15500000</v>
      </c>
      <c r="G81" s="83"/>
      <c r="H81" s="83">
        <f>5000000+570000+5430000+4500000</f>
        <v>15500000</v>
      </c>
      <c r="I81" s="83"/>
      <c r="J81" s="56">
        <f>SUM(K81+L81+M81)</f>
        <v>8352994.1200000001</v>
      </c>
      <c r="K81" s="72"/>
      <c r="L81" s="55">
        <f>1611000+1225044.46+1935117.56+187127.95+228837.98+52651.69+723518.34+754741.38+1695643.56-60688.8</f>
        <v>8352994.1200000001</v>
      </c>
      <c r="M81" s="55"/>
      <c r="N81" s="57">
        <f>SUM(O81+P81)</f>
        <v>8352994.120000001</v>
      </c>
      <c r="O81" s="55"/>
      <c r="P81" s="55">
        <f>1611000+27121.55+1197922.91+41913.75+1893203.81+415965.93+47877.95+97873.28+570000+9438.32+145996.79+145996.79+453039.48+10425.98+34085.46+1651132.12</f>
        <v>8352994.120000001</v>
      </c>
      <c r="Q81" s="55"/>
      <c r="R81" s="88"/>
      <c r="S81" s="88"/>
      <c r="T81" s="55">
        <f>J81-N81</f>
        <v>0</v>
      </c>
      <c r="AG81" s="20"/>
      <c r="AH81" s="20"/>
      <c r="AI81" s="20"/>
      <c r="AJ81" s="20"/>
      <c r="AK81" s="20"/>
      <c r="AL81" s="20"/>
      <c r="AM81" s="20"/>
      <c r="AN81" s="21"/>
    </row>
    <row r="82" spans="1:40" s="19" customFormat="1" ht="409.6" customHeight="1" x14ac:dyDescent="0.4">
      <c r="A82" s="190"/>
      <c r="B82" s="217"/>
      <c r="C82" s="144" t="s">
        <v>17</v>
      </c>
      <c r="D82" s="143"/>
      <c r="E82" s="37" t="s">
        <v>49</v>
      </c>
      <c r="F82" s="82">
        <f>SUM(G82:I82)</f>
        <v>2870000</v>
      </c>
      <c r="G82" s="83"/>
      <c r="H82" s="83">
        <v>2870000</v>
      </c>
      <c r="I82" s="83"/>
      <c r="J82" s="56">
        <f>SUM(K82+L82+M82)</f>
        <v>1555343.8</v>
      </c>
      <c r="K82" s="72"/>
      <c r="L82" s="55">
        <f>400000+495855.56+659488.24</f>
        <v>1555343.8</v>
      </c>
      <c r="M82" s="55"/>
      <c r="N82" s="57">
        <f>SUM(O82+P82)</f>
        <v>1555343.8</v>
      </c>
      <c r="O82" s="55"/>
      <c r="P82" s="55">
        <f>400000+495855.56+10650.8+648837.44</f>
        <v>1555343.8</v>
      </c>
      <c r="Q82" s="55"/>
      <c r="R82" s="88"/>
      <c r="S82" s="88"/>
      <c r="T82" s="55">
        <f>J82-N82</f>
        <v>0</v>
      </c>
      <c r="AG82" s="20"/>
      <c r="AH82" s="20"/>
      <c r="AI82" s="20"/>
      <c r="AJ82" s="20"/>
      <c r="AK82" s="20"/>
      <c r="AL82" s="20"/>
      <c r="AM82" s="20"/>
      <c r="AN82" s="21"/>
    </row>
    <row r="83" spans="1:40" s="19" customFormat="1" ht="53.25" customHeight="1" x14ac:dyDescent="0.4">
      <c r="A83" s="190"/>
      <c r="B83" s="213" t="s">
        <v>43</v>
      </c>
      <c r="C83" s="214"/>
      <c r="D83" s="214"/>
      <c r="E83" s="215"/>
      <c r="F83" s="60">
        <f>SUM(F81:F82)</f>
        <v>18370000</v>
      </c>
      <c r="G83" s="60">
        <f t="shared" ref="G83:T83" si="36">SUM(G81:G82)</f>
        <v>0</v>
      </c>
      <c r="H83" s="60">
        <f t="shared" si="36"/>
        <v>18370000</v>
      </c>
      <c r="I83" s="60">
        <f t="shared" si="36"/>
        <v>0</v>
      </c>
      <c r="J83" s="60">
        <f t="shared" si="36"/>
        <v>9908337.9199999999</v>
      </c>
      <c r="K83" s="60">
        <f t="shared" si="36"/>
        <v>0</v>
      </c>
      <c r="L83" s="60">
        <f t="shared" si="36"/>
        <v>9908337.9199999999</v>
      </c>
      <c r="M83" s="60">
        <f t="shared" si="36"/>
        <v>0</v>
      </c>
      <c r="N83" s="60">
        <f t="shared" si="36"/>
        <v>9908337.9200000018</v>
      </c>
      <c r="O83" s="60">
        <f t="shared" si="36"/>
        <v>0</v>
      </c>
      <c r="P83" s="60">
        <f t="shared" si="36"/>
        <v>9908337.9200000018</v>
      </c>
      <c r="Q83" s="60">
        <f t="shared" si="36"/>
        <v>0</v>
      </c>
      <c r="R83" s="60">
        <f t="shared" si="36"/>
        <v>0</v>
      </c>
      <c r="S83" s="60">
        <f t="shared" si="36"/>
        <v>0</v>
      </c>
      <c r="T83" s="60">
        <f t="shared" si="36"/>
        <v>0</v>
      </c>
      <c r="AG83" s="20"/>
      <c r="AH83" s="20"/>
      <c r="AI83" s="20"/>
      <c r="AJ83" s="20"/>
      <c r="AK83" s="20"/>
      <c r="AL83" s="20"/>
      <c r="AM83" s="20"/>
      <c r="AN83" s="21"/>
    </row>
    <row r="84" spans="1:40" s="7" customFormat="1" ht="87.75" hidden="1" customHeight="1" x14ac:dyDescent="0.4">
      <c r="A84" s="190"/>
      <c r="B84" s="89">
        <v>1517367</v>
      </c>
      <c r="C84" s="90">
        <v>3122</v>
      </c>
      <c r="D84" s="91"/>
      <c r="E84" s="37"/>
      <c r="F84" s="53">
        <f>SUM(G84:I84)</f>
        <v>0</v>
      </c>
      <c r="G84" s="83"/>
      <c r="H84" s="83"/>
      <c r="I84" s="83"/>
      <c r="J84" s="56">
        <f>SUM(K84+L84+M84)</f>
        <v>0</v>
      </c>
      <c r="K84" s="92"/>
      <c r="L84" s="92"/>
      <c r="M84" s="92"/>
      <c r="N84" s="57">
        <f>SUM(O84+P84+Q84)</f>
        <v>0</v>
      </c>
      <c r="O84" s="92"/>
      <c r="P84" s="92"/>
      <c r="Q84" s="92"/>
      <c r="R84" s="93"/>
      <c r="S84" s="93"/>
      <c r="T84" s="55">
        <f>J84-N84</f>
        <v>0</v>
      </c>
      <c r="AG84" s="6"/>
      <c r="AH84" s="6"/>
      <c r="AI84" s="6"/>
      <c r="AJ84" s="6"/>
      <c r="AK84" s="6"/>
      <c r="AL84" s="6"/>
      <c r="AM84" s="6"/>
      <c r="AN84" s="1"/>
    </row>
    <row r="85" spans="1:40" s="7" customFormat="1" ht="48.75" hidden="1" customHeight="1" x14ac:dyDescent="0.4">
      <c r="A85" s="190"/>
      <c r="B85" s="218" t="s">
        <v>44</v>
      </c>
      <c r="C85" s="219"/>
      <c r="D85" s="219"/>
      <c r="E85" s="220"/>
      <c r="F85" s="94">
        <f t="shared" ref="F85:T85" si="37">SUM(F84:F84)</f>
        <v>0</v>
      </c>
      <c r="G85" s="94">
        <f t="shared" si="37"/>
        <v>0</v>
      </c>
      <c r="H85" s="94">
        <f t="shared" si="37"/>
        <v>0</v>
      </c>
      <c r="I85" s="94">
        <f t="shared" si="37"/>
        <v>0</v>
      </c>
      <c r="J85" s="94">
        <f t="shared" si="37"/>
        <v>0</v>
      </c>
      <c r="K85" s="94">
        <f t="shared" si="37"/>
        <v>0</v>
      </c>
      <c r="L85" s="94">
        <f t="shared" si="37"/>
        <v>0</v>
      </c>
      <c r="M85" s="94">
        <f t="shared" si="37"/>
        <v>0</v>
      </c>
      <c r="N85" s="94">
        <f t="shared" si="37"/>
        <v>0</v>
      </c>
      <c r="O85" s="94">
        <f t="shared" si="37"/>
        <v>0</v>
      </c>
      <c r="P85" s="94">
        <f>SUM(P84:P84)</f>
        <v>0</v>
      </c>
      <c r="Q85" s="94">
        <f t="shared" si="37"/>
        <v>0</v>
      </c>
      <c r="R85" s="94">
        <f t="shared" si="37"/>
        <v>0</v>
      </c>
      <c r="S85" s="94">
        <f t="shared" si="37"/>
        <v>0</v>
      </c>
      <c r="T85" s="94">
        <f t="shared" si="37"/>
        <v>0</v>
      </c>
      <c r="AG85" s="6"/>
      <c r="AH85" s="6"/>
      <c r="AI85" s="6"/>
      <c r="AJ85" s="6"/>
      <c r="AK85" s="6"/>
      <c r="AL85" s="6"/>
      <c r="AM85" s="6"/>
      <c r="AN85" s="1"/>
    </row>
    <row r="86" spans="1:40" s="7" customFormat="1" ht="200.25" customHeight="1" x14ac:dyDescent="0.4">
      <c r="A86" s="190"/>
      <c r="B86" s="192">
        <v>1517368</v>
      </c>
      <c r="C86" s="50">
        <v>3122</v>
      </c>
      <c r="D86" s="51"/>
      <c r="E86" s="52" t="s">
        <v>61</v>
      </c>
      <c r="F86" s="53">
        <f>SUM(I86)</f>
        <v>350000</v>
      </c>
      <c r="G86" s="55"/>
      <c r="H86" s="55"/>
      <c r="I86" s="55">
        <v>350000</v>
      </c>
      <c r="J86" s="56">
        <f t="shared" ref="J86:J89" si="38">SUM(K86:M86)</f>
        <v>344926.19</v>
      </c>
      <c r="K86" s="55"/>
      <c r="L86" s="55"/>
      <c r="M86" s="55">
        <f>99782.26+245143.93</f>
        <v>344926.19</v>
      </c>
      <c r="N86" s="57">
        <f t="shared" ref="N86:N89" si="39">SUM(O86:Q86)</f>
        <v>344926.19</v>
      </c>
      <c r="O86" s="55"/>
      <c r="P86" s="55"/>
      <c r="Q86" s="58">
        <f>99782.26+4926.19+240217.74</f>
        <v>344926.19</v>
      </c>
      <c r="R86" s="55"/>
      <c r="S86" s="55"/>
      <c r="T86" s="55">
        <f t="shared" ref="T86:T89" si="40">J86-N86</f>
        <v>0</v>
      </c>
      <c r="AG86" s="6"/>
      <c r="AH86" s="6"/>
      <c r="AI86" s="6"/>
      <c r="AJ86" s="6"/>
      <c r="AK86" s="6"/>
      <c r="AL86" s="6"/>
      <c r="AM86" s="6"/>
      <c r="AN86" s="1"/>
    </row>
    <row r="87" spans="1:40" s="7" customFormat="1" ht="200.25" customHeight="1" x14ac:dyDescent="0.4">
      <c r="A87" s="190"/>
      <c r="B87" s="190"/>
      <c r="C87" s="50">
        <v>3122</v>
      </c>
      <c r="D87" s="51"/>
      <c r="E87" s="52" t="s">
        <v>84</v>
      </c>
      <c r="F87" s="53">
        <f>SUM(I87)</f>
        <v>72000</v>
      </c>
      <c r="G87" s="55"/>
      <c r="H87" s="55"/>
      <c r="I87" s="55">
        <f>72000</f>
        <v>72000</v>
      </c>
      <c r="J87" s="56">
        <f t="shared" si="38"/>
        <v>72000</v>
      </c>
      <c r="K87" s="55"/>
      <c r="L87" s="55"/>
      <c r="M87" s="55">
        <f>72000</f>
        <v>72000</v>
      </c>
      <c r="N87" s="57">
        <f t="shared" si="39"/>
        <v>72000</v>
      </c>
      <c r="O87" s="55"/>
      <c r="P87" s="55"/>
      <c r="Q87" s="58">
        <f>72000</f>
        <v>72000</v>
      </c>
      <c r="R87" s="55"/>
      <c r="S87" s="55"/>
      <c r="T87" s="55">
        <f t="shared" si="40"/>
        <v>0</v>
      </c>
      <c r="AG87" s="6"/>
      <c r="AH87" s="6"/>
      <c r="AI87" s="6"/>
      <c r="AJ87" s="6"/>
      <c r="AK87" s="6"/>
      <c r="AL87" s="6"/>
      <c r="AM87" s="6"/>
      <c r="AN87" s="1"/>
    </row>
    <row r="88" spans="1:40" s="7" customFormat="1" ht="215.25" customHeight="1" x14ac:dyDescent="0.4">
      <c r="A88" s="190"/>
      <c r="B88" s="190"/>
      <c r="C88" s="50">
        <v>3132</v>
      </c>
      <c r="D88" s="51"/>
      <c r="E88" s="52" t="s">
        <v>59</v>
      </c>
      <c r="F88" s="53">
        <f>SUM(I88)</f>
        <v>2536534</v>
      </c>
      <c r="G88" s="55"/>
      <c r="H88" s="55"/>
      <c r="I88" s="55">
        <f>1269000+1267534</f>
        <v>2536534</v>
      </c>
      <c r="J88" s="56">
        <f t="shared" si="38"/>
        <v>2467800.7400000002</v>
      </c>
      <c r="K88" s="55"/>
      <c r="L88" s="55"/>
      <c r="M88" s="55">
        <f>512950.34+16561.87+357940.13+214405.5+151311.19+1206126.71+8505</f>
        <v>2467800.7400000002</v>
      </c>
      <c r="N88" s="57">
        <f t="shared" si="39"/>
        <v>2467800.7400000002</v>
      </c>
      <c r="O88" s="55"/>
      <c r="P88" s="55"/>
      <c r="Q88" s="58">
        <f>76999.65+447043.6+5468.96+4311.59+353628.54+2571.97+211833.53+1816.86+149494.33+24126.71+1182000+8505</f>
        <v>2467800.7400000002</v>
      </c>
      <c r="R88" s="55"/>
      <c r="S88" s="55"/>
      <c r="T88" s="55">
        <f t="shared" si="40"/>
        <v>0</v>
      </c>
      <c r="AG88" s="6"/>
      <c r="AH88" s="6"/>
      <c r="AI88" s="6"/>
      <c r="AJ88" s="6"/>
      <c r="AK88" s="6"/>
      <c r="AL88" s="6"/>
      <c r="AM88" s="6"/>
      <c r="AN88" s="1"/>
    </row>
    <row r="89" spans="1:40" s="7" customFormat="1" ht="170.25" customHeight="1" x14ac:dyDescent="0.4">
      <c r="A89" s="190"/>
      <c r="B89" s="190"/>
      <c r="C89" s="50">
        <v>3142</v>
      </c>
      <c r="D89" s="51"/>
      <c r="E89" s="39" t="s">
        <v>76</v>
      </c>
      <c r="F89" s="53">
        <f t="shared" ref="F89" si="41">SUM(I89)</f>
        <v>110000</v>
      </c>
      <c r="G89" s="55"/>
      <c r="H89" s="55"/>
      <c r="I89" s="55">
        <v>110000</v>
      </c>
      <c r="J89" s="56">
        <f t="shared" si="38"/>
        <v>110000</v>
      </c>
      <c r="K89" s="55"/>
      <c r="L89" s="55"/>
      <c r="M89" s="55">
        <f>110000</f>
        <v>110000</v>
      </c>
      <c r="N89" s="57">
        <f t="shared" si="39"/>
        <v>110000</v>
      </c>
      <c r="O89" s="55"/>
      <c r="P89" s="55"/>
      <c r="Q89" s="58">
        <f>38404+71596</f>
        <v>110000</v>
      </c>
      <c r="R89" s="55"/>
      <c r="S89" s="55"/>
      <c r="T89" s="55">
        <f t="shared" si="40"/>
        <v>0</v>
      </c>
      <c r="AG89" s="6"/>
      <c r="AH89" s="6"/>
      <c r="AI89" s="6"/>
      <c r="AJ89" s="6"/>
      <c r="AK89" s="6"/>
      <c r="AL89" s="6"/>
      <c r="AM89" s="6"/>
      <c r="AN89" s="1"/>
    </row>
    <row r="90" spans="1:40" s="7" customFormat="1" ht="60.75" customHeight="1" x14ac:dyDescent="0.4">
      <c r="A90" s="190"/>
      <c r="B90" s="193" t="s">
        <v>45</v>
      </c>
      <c r="C90" s="193"/>
      <c r="D90" s="193"/>
      <c r="E90" s="193"/>
      <c r="F90" s="95">
        <f t="shared" ref="F90:T90" si="42">SUM(F86:F89)</f>
        <v>3068534</v>
      </c>
      <c r="G90" s="95">
        <f t="shared" si="42"/>
        <v>0</v>
      </c>
      <c r="H90" s="95">
        <f t="shared" si="42"/>
        <v>0</v>
      </c>
      <c r="I90" s="95">
        <f t="shared" si="42"/>
        <v>3068534</v>
      </c>
      <c r="J90" s="95">
        <f t="shared" si="42"/>
        <v>2994726.93</v>
      </c>
      <c r="K90" s="95">
        <f t="shared" si="42"/>
        <v>0</v>
      </c>
      <c r="L90" s="95">
        <f t="shared" si="42"/>
        <v>0</v>
      </c>
      <c r="M90" s="95">
        <f t="shared" si="42"/>
        <v>2994726.93</v>
      </c>
      <c r="N90" s="95">
        <f t="shared" si="42"/>
        <v>2994726.93</v>
      </c>
      <c r="O90" s="95">
        <f t="shared" si="42"/>
        <v>0</v>
      </c>
      <c r="P90" s="95">
        <f t="shared" si="42"/>
        <v>0</v>
      </c>
      <c r="Q90" s="95">
        <f t="shared" si="42"/>
        <v>2994726.93</v>
      </c>
      <c r="R90" s="95">
        <f t="shared" si="42"/>
        <v>0</v>
      </c>
      <c r="S90" s="95">
        <f t="shared" si="42"/>
        <v>0</v>
      </c>
      <c r="T90" s="95">
        <f t="shared" si="42"/>
        <v>0</v>
      </c>
      <c r="AG90" s="6"/>
      <c r="AH90" s="6"/>
      <c r="AI90" s="6"/>
      <c r="AJ90" s="6"/>
      <c r="AK90" s="6"/>
      <c r="AL90" s="6"/>
      <c r="AM90" s="6"/>
      <c r="AN90" s="1"/>
    </row>
    <row r="91" spans="1:40" s="7" customFormat="1" ht="249.75" customHeight="1" x14ac:dyDescent="0.4">
      <c r="A91" s="190"/>
      <c r="B91" s="194">
        <v>1517369</v>
      </c>
      <c r="C91" s="40">
        <v>3142</v>
      </c>
      <c r="D91" s="96">
        <v>431</v>
      </c>
      <c r="E91" s="41" t="s">
        <v>20</v>
      </c>
      <c r="F91" s="53">
        <f>SUM(G91+H91+I91)</f>
        <v>15280000</v>
      </c>
      <c r="G91" s="97">
        <f>12600000+1930000+750000</f>
        <v>15280000</v>
      </c>
      <c r="H91" s="55"/>
      <c r="I91" s="55"/>
      <c r="J91" s="56">
        <f>SUM(K91:M91)</f>
        <v>15261782.58</v>
      </c>
      <c r="K91" s="98">
        <f>3901301.31+297675+698944.05+12500+30000+3402244.85+1241372.86+21552.34+2110126.1+246209.34+1036007.37+10943.4+1089159.48+738064.48+408672+17010</f>
        <v>15261782.58</v>
      </c>
      <c r="L91" s="55"/>
      <c r="M91" s="92"/>
      <c r="N91" s="57">
        <f>SUM(O91+P91+Q91)</f>
        <v>15261782.579999998</v>
      </c>
      <c r="O91" s="98">
        <f>3823970.63+75205.34+2125.34+297675+685031.46+13912.59+12500+30000+67044.27+1565518.66+1769681.92+24911.37+738736.37+477725.12+21552.34+308667.8+435795.77+1050457.48+41731.67+273473.38+87001.11+4696.4+154511.83+733178.92+239541.26+42701.95+20585.24+10943.4+22159.48+1011212.58+55787.42+14321.36+723743.12+408672+17010</f>
        <v>15261782.579999998</v>
      </c>
      <c r="P91" s="97"/>
      <c r="Q91" s="92"/>
      <c r="R91" s="99"/>
      <c r="S91" s="99"/>
      <c r="T91" s="55">
        <f t="shared" ref="T91:T97" si="43">J91-N91</f>
        <v>0</v>
      </c>
      <c r="AG91" s="6"/>
      <c r="AH91" s="6"/>
      <c r="AI91" s="6"/>
      <c r="AJ91" s="6"/>
      <c r="AK91" s="6"/>
      <c r="AL91" s="6"/>
      <c r="AM91" s="6"/>
      <c r="AN91" s="1"/>
    </row>
    <row r="92" spans="1:40" s="7" customFormat="1" ht="251.25" customHeight="1" x14ac:dyDescent="0.4">
      <c r="A92" s="190"/>
      <c r="B92" s="195"/>
      <c r="C92" s="40">
        <v>3142</v>
      </c>
      <c r="D92" s="96">
        <v>433</v>
      </c>
      <c r="E92" s="41" t="s">
        <v>24</v>
      </c>
      <c r="F92" s="53">
        <f t="shared" ref="F92:F97" si="44">SUM(G92+H92+I92)</f>
        <v>8000000</v>
      </c>
      <c r="G92" s="97">
        <v>3200000</v>
      </c>
      <c r="H92" s="55"/>
      <c r="I92" s="55">
        <v>4800000</v>
      </c>
      <c r="J92" s="56">
        <f>SUM(K92+L92+M92)</f>
        <v>7845034.3899999997</v>
      </c>
      <c r="K92" s="98">
        <f>2857018.06+314567.48+10943.4+17471.06</f>
        <v>3200000</v>
      </c>
      <c r="L92" s="55"/>
      <c r="M92" s="55">
        <f>2829134.26+199800+36500+1428428.67+106137.07+45034.39</f>
        <v>4645034.3899999997</v>
      </c>
      <c r="N92" s="57">
        <f>SUM(O92+P92+Q92)</f>
        <v>7845034.3899999987</v>
      </c>
      <c r="O92" s="98">
        <f>56690.8+2800327.26+8228.07+306339.41+10943.4+17471.06</f>
        <v>3199999.9999999995</v>
      </c>
      <c r="P92" s="55"/>
      <c r="Q92" s="92">
        <f>55384.06+20598.9+2753151.3+199800+12500+24000+28362.93+1400065.74+106137.07+838.13+44196.26</f>
        <v>4645034.3899999997</v>
      </c>
      <c r="R92" s="99"/>
      <c r="S92" s="99"/>
      <c r="T92" s="55">
        <f t="shared" si="43"/>
        <v>0</v>
      </c>
      <c r="AG92" s="6"/>
      <c r="AH92" s="6"/>
      <c r="AI92" s="6"/>
      <c r="AJ92" s="6"/>
      <c r="AK92" s="6"/>
      <c r="AL92" s="6"/>
      <c r="AM92" s="6"/>
      <c r="AN92" s="1"/>
    </row>
    <row r="93" spans="1:40" s="7" customFormat="1" ht="303" customHeight="1" x14ac:dyDescent="0.4">
      <c r="A93" s="190"/>
      <c r="B93" s="195"/>
      <c r="C93" s="34">
        <v>3142</v>
      </c>
      <c r="D93" s="51">
        <v>430</v>
      </c>
      <c r="E93" s="52" t="s">
        <v>23</v>
      </c>
      <c r="F93" s="53">
        <f t="shared" si="44"/>
        <v>2700000</v>
      </c>
      <c r="G93" s="55"/>
      <c r="H93" s="55"/>
      <c r="I93" s="55">
        <v>2700000</v>
      </c>
      <c r="J93" s="56">
        <f>SUM(K93:M93)</f>
        <v>2699999.9899999998</v>
      </c>
      <c r="K93" s="55"/>
      <c r="L93" s="55"/>
      <c r="M93" s="55">
        <f>102552+1356554.75+10943.4+1202398.82+10943.4+16607.62</f>
        <v>2699999.9899999998</v>
      </c>
      <c r="N93" s="57">
        <f>SUM(O93:Q93)</f>
        <v>2699999.9899999998</v>
      </c>
      <c r="O93" s="55"/>
      <c r="P93" s="55"/>
      <c r="Q93" s="58">
        <f>40152+49900+12500+26515.65+67046.87+33498.86+102719.7+113633.52+1013140.15+10943.4+24217.23+348491.36+407055.31+433578.32+16607.62</f>
        <v>2699999.9899999998</v>
      </c>
      <c r="R93" s="55"/>
      <c r="S93" s="55"/>
      <c r="T93" s="55">
        <f t="shared" si="43"/>
        <v>0</v>
      </c>
      <c r="AG93" s="6"/>
      <c r="AH93" s="6"/>
      <c r="AI93" s="6"/>
      <c r="AJ93" s="6"/>
      <c r="AK93" s="6"/>
      <c r="AL93" s="6"/>
      <c r="AM93" s="6"/>
      <c r="AN93" s="1"/>
    </row>
    <row r="94" spans="1:40" s="7" customFormat="1" ht="267.75" customHeight="1" x14ac:dyDescent="0.4">
      <c r="A94" s="190"/>
      <c r="B94" s="195"/>
      <c r="C94" s="34">
        <v>3142</v>
      </c>
      <c r="D94" s="51">
        <v>432</v>
      </c>
      <c r="E94" s="41" t="s">
        <v>21</v>
      </c>
      <c r="F94" s="53">
        <f t="shared" si="44"/>
        <v>5000000</v>
      </c>
      <c r="G94" s="55">
        <f>2700000</f>
        <v>2700000</v>
      </c>
      <c r="H94" s="55"/>
      <c r="I94" s="55">
        <v>2300000</v>
      </c>
      <c r="J94" s="56">
        <f>SUM(K94:M94)</f>
        <v>4995718.8599999994</v>
      </c>
      <c r="K94" s="98">
        <f>1286517.5+1399156.1+7087.5+2957.76</f>
        <v>2695718.86</v>
      </c>
      <c r="L94" s="55"/>
      <c r="M94" s="92">
        <f>2238332.83+61667.17</f>
        <v>2300000</v>
      </c>
      <c r="N94" s="57">
        <f>SUM(O94+P94+Q94)</f>
        <v>4995718.8599999994</v>
      </c>
      <c r="O94" s="98">
        <f>25084.12+1261433.38+28089.48+1371066.62+2957.76+7087.5</f>
        <v>2695718.86</v>
      </c>
      <c r="P94" s="55"/>
      <c r="Q94" s="92">
        <f>103887+49995+40658.56+2028131.16+3161.11+12500+1231.71+60435.46</f>
        <v>2299999.9999999995</v>
      </c>
      <c r="R94" s="99"/>
      <c r="S94" s="99"/>
      <c r="T94" s="55">
        <f t="shared" si="43"/>
        <v>0</v>
      </c>
      <c r="AG94" s="6"/>
      <c r="AH94" s="6"/>
      <c r="AI94" s="6"/>
      <c r="AJ94" s="6"/>
      <c r="AK94" s="6"/>
      <c r="AL94" s="6"/>
      <c r="AM94" s="6"/>
      <c r="AN94" s="1"/>
    </row>
    <row r="95" spans="1:40" s="7" customFormat="1" ht="298.5" customHeight="1" x14ac:dyDescent="0.4">
      <c r="A95" s="190"/>
      <c r="B95" s="195"/>
      <c r="C95" s="34">
        <v>3142</v>
      </c>
      <c r="D95" s="51">
        <v>435</v>
      </c>
      <c r="E95" s="52" t="s">
        <v>22</v>
      </c>
      <c r="F95" s="53">
        <f t="shared" si="44"/>
        <v>6120000</v>
      </c>
      <c r="G95" s="55"/>
      <c r="H95" s="55"/>
      <c r="I95" s="55">
        <f>3920000+2200000</f>
        <v>6120000</v>
      </c>
      <c r="J95" s="56">
        <f>SUM(K95:M95)</f>
        <v>6034066.0899999999</v>
      </c>
      <c r="K95" s="55"/>
      <c r="L95" s="55"/>
      <c r="M95" s="55">
        <f>1750663.29+179424+767581.21+62498+648241.5+25908.06+331777.57+1403962.23+737854.83+10943.4+98202+17010</f>
        <v>6034066.0899999999</v>
      </c>
      <c r="N95" s="57">
        <f>SUM(O95:Q95)</f>
        <v>6034066.0899999999</v>
      </c>
      <c r="O95" s="55"/>
      <c r="P95" s="55"/>
      <c r="Q95" s="58">
        <f>179424+1716920.98+33742.31+752808.44+14772.77+12500+49998+12696.65+406806.6+228738.25+25908.06+6677.57+134049.49+191050.51+27492.44+154495.98+198118.88+1023854.93+14324.62+16816.52+234512.96+472200.73+10943.4+98202+17010</f>
        <v>6034066.0899999999</v>
      </c>
      <c r="R95" s="55"/>
      <c r="S95" s="55"/>
      <c r="T95" s="55">
        <f t="shared" si="43"/>
        <v>0</v>
      </c>
      <c r="AG95" s="6"/>
      <c r="AH95" s="6"/>
      <c r="AI95" s="6"/>
      <c r="AJ95" s="6"/>
      <c r="AK95" s="6"/>
      <c r="AL95" s="6"/>
      <c r="AM95" s="6"/>
      <c r="AN95" s="1"/>
    </row>
    <row r="96" spans="1:40" s="7" customFormat="1" ht="263.25" customHeight="1" x14ac:dyDescent="0.4">
      <c r="A96" s="191"/>
      <c r="B96" s="196"/>
      <c r="C96" s="34">
        <v>3142</v>
      </c>
      <c r="D96" s="51">
        <v>434</v>
      </c>
      <c r="E96" s="52" t="s">
        <v>26</v>
      </c>
      <c r="F96" s="53">
        <f t="shared" si="44"/>
        <v>6350000</v>
      </c>
      <c r="G96" s="55">
        <v>2450000</v>
      </c>
      <c r="H96" s="55"/>
      <c r="I96" s="55">
        <v>3900000</v>
      </c>
      <c r="J96" s="56">
        <f>SUM(K96:M96)</f>
        <v>6063650.6999999993</v>
      </c>
      <c r="K96" s="55">
        <f>994992.29+890125.22+10943.4+248149.79+19440</f>
        <v>2163650.6999999997</v>
      </c>
      <c r="L96" s="55"/>
      <c r="M96" s="55">
        <f>2298798.73+199800+65588.26+22480+12789.47+694914.38+283061.34+322567.82</f>
        <v>3899999.9999999995</v>
      </c>
      <c r="N96" s="57">
        <f>SUM(O96:Q96)</f>
        <v>6063650.7000000002</v>
      </c>
      <c r="O96" s="55">
        <f>25800.62+121594.16+847597.51+4988.5+17255.02+39804.73+126286.62+701790.35+10943.4+1226.84+4877.09+10788.12+61033.26+170224.48+19440</f>
        <v>2163650.7000000007</v>
      </c>
      <c r="P96" s="55"/>
      <c r="Q96" s="58">
        <f>44536.62+1226421.04+1027841.07+199800+1281.15+64307.11+22480+12789.47+13701+681213.38+277358.82+5702.52+0.01+322567.81</f>
        <v>3899999.9999999995</v>
      </c>
      <c r="R96" s="55"/>
      <c r="S96" s="55"/>
      <c r="T96" s="55">
        <f t="shared" si="43"/>
        <v>0</v>
      </c>
      <c r="AG96" s="6"/>
      <c r="AH96" s="6"/>
      <c r="AI96" s="6"/>
      <c r="AJ96" s="6"/>
      <c r="AK96" s="6"/>
      <c r="AL96" s="6"/>
      <c r="AM96" s="6"/>
      <c r="AN96" s="1"/>
    </row>
    <row r="97" spans="1:40" s="7" customFormat="1" ht="263.25" customHeight="1" x14ac:dyDescent="0.4">
      <c r="A97" s="40"/>
      <c r="B97" s="151"/>
      <c r="C97" s="34">
        <v>3142</v>
      </c>
      <c r="D97" s="100"/>
      <c r="E97" s="101" t="s">
        <v>77</v>
      </c>
      <c r="F97" s="53">
        <f t="shared" si="44"/>
        <v>8600000</v>
      </c>
      <c r="G97" s="55">
        <v>4350000</v>
      </c>
      <c r="H97" s="55"/>
      <c r="I97" s="55">
        <v>4250000</v>
      </c>
      <c r="J97" s="56">
        <f>SUM(K97:M97)</f>
        <v>1609395.21</v>
      </c>
      <c r="K97" s="55">
        <f>659435.21</f>
        <v>659435.21</v>
      </c>
      <c r="L97" s="55"/>
      <c r="M97" s="55">
        <f>249960+700000</f>
        <v>949960</v>
      </c>
      <c r="N97" s="57">
        <f>SUM(O97:Q97)</f>
        <v>1609395.21</v>
      </c>
      <c r="O97" s="55">
        <f>659435.21</f>
        <v>659435.21</v>
      </c>
      <c r="P97" s="55"/>
      <c r="Q97" s="58">
        <f>249960+27009.69+672990.31</f>
        <v>949960</v>
      </c>
      <c r="R97" s="55"/>
      <c r="S97" s="55"/>
      <c r="T97" s="55">
        <f t="shared" si="43"/>
        <v>0</v>
      </c>
      <c r="AG97" s="6"/>
      <c r="AH97" s="6"/>
      <c r="AI97" s="6"/>
      <c r="AJ97" s="6"/>
      <c r="AK97" s="6"/>
      <c r="AL97" s="6"/>
      <c r="AM97" s="6"/>
      <c r="AN97" s="1"/>
    </row>
    <row r="98" spans="1:40" s="7" customFormat="1" ht="57" customHeight="1" x14ac:dyDescent="0.4">
      <c r="A98" s="40"/>
      <c r="B98" s="114" t="s">
        <v>46</v>
      </c>
      <c r="C98" s="115"/>
      <c r="D98" s="102"/>
      <c r="E98" s="147"/>
      <c r="F98" s="95">
        <f>SUM(F91:F97)</f>
        <v>52050000</v>
      </c>
      <c r="G98" s="95">
        <f t="shared" ref="G98:T98" si="45">SUM(G91:G97)</f>
        <v>27980000</v>
      </c>
      <c r="H98" s="95">
        <f t="shared" si="45"/>
        <v>0</v>
      </c>
      <c r="I98" s="95">
        <f>SUM(I91:I97)</f>
        <v>24070000</v>
      </c>
      <c r="J98" s="95">
        <f t="shared" si="45"/>
        <v>44509647.82</v>
      </c>
      <c r="K98" s="95">
        <f t="shared" si="45"/>
        <v>23980587.349999998</v>
      </c>
      <c r="L98" s="95">
        <f t="shared" si="45"/>
        <v>0</v>
      </c>
      <c r="M98" s="95">
        <f t="shared" si="45"/>
        <v>20529060.469999999</v>
      </c>
      <c r="N98" s="95">
        <f t="shared" si="45"/>
        <v>44509647.82</v>
      </c>
      <c r="O98" s="95">
        <f t="shared" si="45"/>
        <v>23980587.349999998</v>
      </c>
      <c r="P98" s="95">
        <f t="shared" si="45"/>
        <v>0</v>
      </c>
      <c r="Q98" s="95">
        <f t="shared" si="45"/>
        <v>20529060.469999999</v>
      </c>
      <c r="R98" s="95">
        <f t="shared" si="45"/>
        <v>0</v>
      </c>
      <c r="S98" s="95">
        <f t="shared" si="45"/>
        <v>0</v>
      </c>
      <c r="T98" s="95">
        <f t="shared" si="45"/>
        <v>0</v>
      </c>
      <c r="AG98" s="6"/>
      <c r="AH98" s="6"/>
      <c r="AI98" s="6"/>
      <c r="AJ98" s="6"/>
      <c r="AK98" s="6"/>
      <c r="AL98" s="6"/>
      <c r="AM98" s="6"/>
      <c r="AN98" s="1"/>
    </row>
    <row r="99" spans="1:40" s="7" customFormat="1" ht="49.5" customHeight="1" x14ac:dyDescent="0.4">
      <c r="A99" s="197" t="s">
        <v>47</v>
      </c>
      <c r="B99" s="197"/>
      <c r="C99" s="197"/>
      <c r="D99" s="197"/>
      <c r="E99" s="197"/>
      <c r="F99" s="59">
        <f t="shared" ref="F99:T99" si="46">F98+F90+F85+F83+F80</f>
        <v>92410444</v>
      </c>
      <c r="G99" s="59">
        <f t="shared" si="46"/>
        <v>39646828</v>
      </c>
      <c r="H99" s="59">
        <f t="shared" si="46"/>
        <v>18370000</v>
      </c>
      <c r="I99" s="59">
        <f t="shared" si="46"/>
        <v>34393616</v>
      </c>
      <c r="J99" s="59">
        <f t="shared" si="46"/>
        <v>72819599.870000005</v>
      </c>
      <c r="K99" s="59">
        <f t="shared" si="46"/>
        <v>32624414.229999997</v>
      </c>
      <c r="L99" s="59">
        <f t="shared" si="46"/>
        <v>9908337.9199999999</v>
      </c>
      <c r="M99" s="59">
        <f t="shared" si="46"/>
        <v>30286847.719999999</v>
      </c>
      <c r="N99" s="59">
        <f t="shared" si="46"/>
        <v>72819599.870000005</v>
      </c>
      <c r="O99" s="59">
        <f t="shared" si="46"/>
        <v>32624414.229999997</v>
      </c>
      <c r="P99" s="59">
        <f t="shared" si="46"/>
        <v>9908337.9200000018</v>
      </c>
      <c r="Q99" s="59">
        <f t="shared" si="46"/>
        <v>30286847.719999999</v>
      </c>
      <c r="R99" s="59">
        <f t="shared" si="46"/>
        <v>0</v>
      </c>
      <c r="S99" s="59">
        <f t="shared" si="46"/>
        <v>0</v>
      </c>
      <c r="T99" s="59">
        <f t="shared" si="46"/>
        <v>0</v>
      </c>
      <c r="AG99" s="6"/>
      <c r="AH99" s="6"/>
      <c r="AI99" s="6"/>
      <c r="AJ99" s="6"/>
      <c r="AK99" s="6"/>
      <c r="AL99" s="6"/>
      <c r="AM99" s="6"/>
      <c r="AN99" s="1"/>
    </row>
    <row r="100" spans="1:40" s="19" customFormat="1" ht="324.75" customHeight="1" x14ac:dyDescent="0.4">
      <c r="A100" s="198">
        <v>1517380</v>
      </c>
      <c r="B100" s="199"/>
      <c r="C100" s="142">
        <v>3142</v>
      </c>
      <c r="D100" s="103"/>
      <c r="E100" s="41" t="s">
        <v>81</v>
      </c>
      <c r="F100" s="53">
        <f>SUM(G100+H100+I100)</f>
        <v>24000000</v>
      </c>
      <c r="G100" s="72">
        <f>20000000+4000000</f>
        <v>24000000</v>
      </c>
      <c r="H100" s="72"/>
      <c r="I100" s="104"/>
      <c r="J100" s="56">
        <f>SUM(K100+L100+M100)</f>
        <v>20020219.900000002</v>
      </c>
      <c r="K100" s="72">
        <f>5828000+2825595.25+20000+7903992.8+42500+120000+3280131.85</f>
        <v>20020219.900000002</v>
      </c>
      <c r="L100" s="104"/>
      <c r="M100" s="104"/>
      <c r="N100" s="57">
        <f>SUM(O100+P100+Q100)</f>
        <v>20020219.899999995</v>
      </c>
      <c r="O100" s="72">
        <f>5828000+168927.87+716634.67+1940032.71+20000+151236.87+1976333.36+2832628.87+2943793.7+42500+120000+67425.9+3212705.95</f>
        <v>20020219.899999995</v>
      </c>
      <c r="P100" s="104"/>
      <c r="Q100" s="104"/>
      <c r="R100" s="104"/>
      <c r="S100" s="104"/>
      <c r="T100" s="72">
        <f>SUM(J100-N100)</f>
        <v>7.4505805969238281E-9</v>
      </c>
      <c r="AG100" s="20"/>
      <c r="AH100" s="20"/>
      <c r="AI100" s="20"/>
      <c r="AJ100" s="20"/>
      <c r="AK100" s="20"/>
      <c r="AL100" s="20"/>
      <c r="AM100" s="20"/>
      <c r="AN100" s="21"/>
    </row>
    <row r="101" spans="1:40" s="19" customFormat="1" ht="369.75" customHeight="1" x14ac:dyDescent="0.4">
      <c r="A101" s="200"/>
      <c r="B101" s="201"/>
      <c r="C101" s="142">
        <v>3142</v>
      </c>
      <c r="D101" s="103"/>
      <c r="E101" s="41" t="s">
        <v>49</v>
      </c>
      <c r="F101" s="53">
        <f>SUM(G101+H101+I101)</f>
        <v>4708000</v>
      </c>
      <c r="G101" s="72">
        <f>19368000-14660000</f>
        <v>4708000</v>
      </c>
      <c r="H101" s="72"/>
      <c r="I101" s="104"/>
      <c r="J101" s="56">
        <f>SUM(K101+L101+M101)</f>
        <v>4131937.76</v>
      </c>
      <c r="K101" s="72">
        <f>369914.61+26700+810773.44+2740934.51+183615.2</f>
        <v>4131937.76</v>
      </c>
      <c r="L101" s="104"/>
      <c r="M101" s="104"/>
      <c r="N101" s="57">
        <f>SUM(O101+P101+Q101)</f>
        <v>4131937.7600000002</v>
      </c>
      <c r="O101" s="72">
        <f>7381.33+389233.28+15320.19+795453.25+52356.45+2688578.06+16368.04+167247.16</f>
        <v>4131937.7600000002</v>
      </c>
      <c r="P101" s="104"/>
      <c r="Q101" s="104"/>
      <c r="R101" s="104"/>
      <c r="S101" s="104"/>
      <c r="T101" s="72">
        <f>SUM(J101-N101)</f>
        <v>-4.6566128730773926E-10</v>
      </c>
      <c r="AG101" s="20"/>
      <c r="AH101" s="20"/>
      <c r="AI101" s="20"/>
      <c r="AJ101" s="20"/>
      <c r="AK101" s="20"/>
      <c r="AL101" s="20"/>
      <c r="AM101" s="20"/>
      <c r="AN101" s="21"/>
    </row>
    <row r="102" spans="1:40" s="19" customFormat="1" ht="225.75" customHeight="1" x14ac:dyDescent="0.4">
      <c r="A102" s="202"/>
      <c r="B102" s="203"/>
      <c r="C102" s="142">
        <v>3143</v>
      </c>
      <c r="D102" s="103"/>
      <c r="E102" s="41" t="s">
        <v>37</v>
      </c>
      <c r="F102" s="53">
        <f>SUM(G102+H102+I102)</f>
        <v>10000000</v>
      </c>
      <c r="G102" s="72">
        <v>10000000</v>
      </c>
      <c r="H102" s="72"/>
      <c r="I102" s="104"/>
      <c r="J102" s="56">
        <f>SUM(K102+L102+M102)</f>
        <v>10000000</v>
      </c>
      <c r="K102" s="72">
        <f>6116778.36+25000+49930+150432+3657859.64</f>
        <v>10000000</v>
      </c>
      <c r="L102" s="104"/>
      <c r="M102" s="104"/>
      <c r="N102" s="57">
        <f>SUM(O102+P102+Q102)</f>
        <v>10000000</v>
      </c>
      <c r="O102" s="72">
        <f>77863.99+122081.73+324684.38+1484517.91+4107630.35+25000+49930+150432+19230.21+34636.36+128302.4+291518.46+343894.3+570797.63+2269480.28</f>
        <v>10000000</v>
      </c>
      <c r="P102" s="104"/>
      <c r="Q102" s="104"/>
      <c r="R102" s="104"/>
      <c r="S102" s="104"/>
      <c r="T102" s="72">
        <f>SUM(J102-N102)</f>
        <v>0</v>
      </c>
      <c r="AG102" s="20"/>
      <c r="AH102" s="20"/>
      <c r="AI102" s="20"/>
      <c r="AJ102" s="20"/>
      <c r="AK102" s="20"/>
      <c r="AL102" s="20"/>
      <c r="AM102" s="20"/>
      <c r="AN102" s="21"/>
    </row>
    <row r="103" spans="1:40" s="19" customFormat="1" ht="67.5" customHeight="1" x14ac:dyDescent="0.4">
      <c r="A103" s="188" t="s">
        <v>91</v>
      </c>
      <c r="B103" s="188"/>
      <c r="C103" s="188"/>
      <c r="D103" s="188"/>
      <c r="E103" s="188"/>
      <c r="F103" s="60">
        <f>SUM(F100:F102)</f>
        <v>38708000</v>
      </c>
      <c r="G103" s="60">
        <f t="shared" ref="G103:M103" si="47">SUM(G100:G102)</f>
        <v>38708000</v>
      </c>
      <c r="H103" s="60">
        <f t="shared" si="47"/>
        <v>0</v>
      </c>
      <c r="I103" s="60">
        <f t="shared" si="47"/>
        <v>0</v>
      </c>
      <c r="J103" s="60">
        <f t="shared" si="47"/>
        <v>34152157.660000004</v>
      </c>
      <c r="K103" s="60">
        <f t="shared" si="47"/>
        <v>34152157.660000004</v>
      </c>
      <c r="L103" s="60">
        <f t="shared" si="47"/>
        <v>0</v>
      </c>
      <c r="M103" s="60">
        <f t="shared" si="47"/>
        <v>0</v>
      </c>
      <c r="N103" s="60">
        <f>SUM(N100:N102)</f>
        <v>34152157.659999996</v>
      </c>
      <c r="O103" s="60">
        <f t="shared" ref="O103:T103" si="48">SUM(O100:O102)</f>
        <v>34152157.659999996</v>
      </c>
      <c r="P103" s="60">
        <f t="shared" si="48"/>
        <v>0</v>
      </c>
      <c r="Q103" s="60">
        <f t="shared" si="48"/>
        <v>0</v>
      </c>
      <c r="R103" s="60">
        <f t="shared" si="48"/>
        <v>0</v>
      </c>
      <c r="S103" s="60">
        <f t="shared" si="48"/>
        <v>0</v>
      </c>
      <c r="T103" s="60">
        <f t="shared" si="48"/>
        <v>6.9849193096160889E-9</v>
      </c>
      <c r="AG103" s="20"/>
      <c r="AH103" s="20"/>
      <c r="AI103" s="20"/>
      <c r="AJ103" s="20"/>
      <c r="AK103" s="20"/>
      <c r="AL103" s="20"/>
      <c r="AM103" s="20"/>
      <c r="AN103" s="21"/>
    </row>
    <row r="104" spans="1:40" s="1" customFormat="1" ht="53.25" customHeight="1" x14ac:dyDescent="0.4">
      <c r="A104" s="113"/>
      <c r="B104" s="105"/>
      <c r="C104" s="106"/>
      <c r="D104" s="107"/>
      <c r="E104" s="108" t="s">
        <v>16</v>
      </c>
      <c r="F104" s="132">
        <f t="shared" ref="F104:T104" si="49">F13+F15+F17+F19+F21+F25+F60+F67+F99+F103+F23</f>
        <v>189712556</v>
      </c>
      <c r="G104" s="132">
        <f t="shared" si="49"/>
        <v>113068600</v>
      </c>
      <c r="H104" s="132">
        <f t="shared" si="49"/>
        <v>37826900</v>
      </c>
      <c r="I104" s="132">
        <f t="shared" si="49"/>
        <v>38817056</v>
      </c>
      <c r="J104" s="132">
        <f t="shared" si="49"/>
        <v>157272593.11000001</v>
      </c>
      <c r="K104" s="132">
        <f t="shared" si="49"/>
        <v>94215423.00999999</v>
      </c>
      <c r="L104" s="132">
        <f t="shared" si="49"/>
        <v>28464035.190000001</v>
      </c>
      <c r="M104" s="132">
        <f t="shared" si="49"/>
        <v>34593134.909999996</v>
      </c>
      <c r="N104" s="132">
        <f t="shared" si="49"/>
        <v>157272593.11000001</v>
      </c>
      <c r="O104" s="132">
        <f t="shared" si="49"/>
        <v>94215423.00999999</v>
      </c>
      <c r="P104" s="132">
        <f t="shared" si="49"/>
        <v>28464035.190000001</v>
      </c>
      <c r="Q104" s="132">
        <f t="shared" si="49"/>
        <v>34593134.909999996</v>
      </c>
      <c r="R104" s="132">
        <f t="shared" si="49"/>
        <v>0</v>
      </c>
      <c r="S104" s="132">
        <f t="shared" si="49"/>
        <v>0</v>
      </c>
      <c r="T104" s="132">
        <f t="shared" si="49"/>
        <v>6.9849193096160889E-9</v>
      </c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6"/>
      <c r="AH104" s="6"/>
      <c r="AI104" s="6"/>
      <c r="AJ104" s="6"/>
      <c r="AK104" s="6"/>
      <c r="AL104" s="6"/>
      <c r="AM104" s="6"/>
    </row>
    <row r="105" spans="1:40" s="1" customFormat="1" ht="62.25" customHeight="1" x14ac:dyDescent="0.4">
      <c r="A105" s="189" t="s">
        <v>48</v>
      </c>
      <c r="B105" s="189"/>
      <c r="C105" s="189"/>
      <c r="D105" s="189"/>
      <c r="E105" s="189"/>
      <c r="F105" s="110"/>
      <c r="G105" s="109"/>
      <c r="H105" s="109"/>
      <c r="I105" s="109"/>
      <c r="J105" s="110"/>
      <c r="K105" s="109"/>
      <c r="L105" s="109"/>
      <c r="M105" s="109"/>
      <c r="N105" s="110"/>
      <c r="O105" s="111"/>
      <c r="P105" s="111"/>
      <c r="Q105" s="111"/>
      <c r="R105" s="111"/>
      <c r="S105" s="111"/>
      <c r="T105" s="111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6"/>
      <c r="AH105" s="6"/>
      <c r="AI105" s="6"/>
      <c r="AJ105" s="6"/>
      <c r="AK105" s="6"/>
      <c r="AL105" s="6"/>
      <c r="AM105" s="6"/>
    </row>
    <row r="106" spans="1:40" s="1" customFormat="1" ht="26.45" customHeight="1" x14ac:dyDescent="0.6">
      <c r="A106" s="15"/>
      <c r="C106" s="2"/>
      <c r="D106" s="31"/>
      <c r="F106" s="22"/>
      <c r="J106" s="23"/>
      <c r="N106" s="21"/>
      <c r="O106" s="6"/>
      <c r="P106" s="6"/>
      <c r="Q106" s="6"/>
      <c r="R106" s="6"/>
      <c r="S106" s="6"/>
      <c r="T106" s="6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6"/>
      <c r="AH106" s="6"/>
      <c r="AI106" s="6"/>
      <c r="AJ106" s="6"/>
      <c r="AK106" s="6"/>
      <c r="AL106" s="6"/>
      <c r="AM106" s="6"/>
    </row>
    <row r="107" spans="1:40" s="1" customFormat="1" ht="26.45" customHeight="1" x14ac:dyDescent="0.6">
      <c r="A107" s="15"/>
      <c r="C107" s="2"/>
      <c r="D107" s="31"/>
      <c r="F107" s="22"/>
      <c r="J107" s="23"/>
      <c r="N107" s="21"/>
      <c r="O107" s="6"/>
      <c r="P107" s="6"/>
      <c r="Q107" s="6"/>
      <c r="R107" s="6"/>
      <c r="S107" s="6"/>
      <c r="T107" s="6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6"/>
      <c r="AH107" s="6"/>
      <c r="AI107" s="6"/>
      <c r="AJ107" s="6"/>
      <c r="AK107" s="6"/>
      <c r="AL107" s="6"/>
      <c r="AM107" s="6"/>
    </row>
    <row r="108" spans="1:40" s="1" customFormat="1" ht="26.45" customHeight="1" x14ac:dyDescent="0.6">
      <c r="A108" s="15"/>
      <c r="C108" s="2"/>
      <c r="D108" s="31"/>
      <c r="F108" s="22"/>
      <c r="J108" s="23"/>
      <c r="N108" s="21"/>
      <c r="O108" s="6"/>
      <c r="P108" s="6"/>
      <c r="Q108" s="6"/>
      <c r="R108" s="6"/>
      <c r="S108" s="6"/>
      <c r="T108" s="6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6"/>
      <c r="AH108" s="6"/>
      <c r="AI108" s="6"/>
      <c r="AJ108" s="6"/>
      <c r="AK108" s="6"/>
      <c r="AL108" s="6"/>
      <c r="AM108" s="6"/>
    </row>
    <row r="109" spans="1:40" s="1" customFormat="1" ht="26.45" customHeight="1" x14ac:dyDescent="0.6">
      <c r="A109" s="15"/>
      <c r="C109" s="2"/>
      <c r="D109" s="31"/>
      <c r="F109" s="22"/>
      <c r="J109" s="23"/>
      <c r="N109" s="21"/>
      <c r="O109" s="6"/>
      <c r="P109" s="6"/>
      <c r="Q109" s="6"/>
      <c r="R109" s="6"/>
      <c r="S109" s="6"/>
      <c r="T109" s="6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6"/>
      <c r="AH109" s="6"/>
      <c r="AI109" s="6"/>
      <c r="AJ109" s="6"/>
      <c r="AK109" s="6"/>
      <c r="AL109" s="6"/>
      <c r="AM109" s="6"/>
    </row>
  </sheetData>
  <sheetProtection selectLockedCells="1" selectUnlockedCells="1"/>
  <mergeCells count="53">
    <mergeCell ref="A5:T5"/>
    <mergeCell ref="A6:T6"/>
    <mergeCell ref="A7:T7"/>
    <mergeCell ref="A9:A11"/>
    <mergeCell ref="B9:B11"/>
    <mergeCell ref="C9:C11"/>
    <mergeCell ref="D9:D11"/>
    <mergeCell ref="E9:E11"/>
    <mergeCell ref="F9:F11"/>
    <mergeCell ref="G9:I9"/>
    <mergeCell ref="T9:T11"/>
    <mergeCell ref="O10:O11"/>
    <mergeCell ref="P10:P11"/>
    <mergeCell ref="Q10:Q11"/>
    <mergeCell ref="N9:N11"/>
    <mergeCell ref="O9:Q9"/>
    <mergeCell ref="R9:S9"/>
    <mergeCell ref="R10:R11"/>
    <mergeCell ref="S10:S11"/>
    <mergeCell ref="A23:C23"/>
    <mergeCell ref="A26:A28"/>
    <mergeCell ref="A21:E21"/>
    <mergeCell ref="G10:G11"/>
    <mergeCell ref="H10:H11"/>
    <mergeCell ref="A15:E15"/>
    <mergeCell ref="A17:E17"/>
    <mergeCell ref="A19:E19"/>
    <mergeCell ref="I10:I11"/>
    <mergeCell ref="K10:K11"/>
    <mergeCell ref="J9:J11"/>
    <mergeCell ref="K9:M9"/>
    <mergeCell ref="A13:E13"/>
    <mergeCell ref="L10:L11"/>
    <mergeCell ref="M10:M11"/>
    <mergeCell ref="A30:A40"/>
    <mergeCell ref="A51:A53"/>
    <mergeCell ref="A55:A58"/>
    <mergeCell ref="B55:B58"/>
    <mergeCell ref="A61:B66"/>
    <mergeCell ref="A68:A85"/>
    <mergeCell ref="B68:B79"/>
    <mergeCell ref="B80:E80"/>
    <mergeCell ref="B81:B82"/>
    <mergeCell ref="B83:E83"/>
    <mergeCell ref="B85:E85"/>
    <mergeCell ref="A103:E103"/>
    <mergeCell ref="A105:E105"/>
    <mergeCell ref="A86:A96"/>
    <mergeCell ref="B86:B89"/>
    <mergeCell ref="B90:E90"/>
    <mergeCell ref="B91:B96"/>
    <mergeCell ref="A99:E99"/>
    <mergeCell ref="A100:B102"/>
  </mergeCells>
  <pageMargins left="3.937007874015748E-2" right="3.937007874015748E-2" top="0.35433070866141736" bottom="0.35433070866141736" header="0.11811023622047245" footer="0.11811023622047245"/>
  <pageSetup paperSize="9" scale="13" firstPageNumber="0" fitToHeight="6" orientation="landscape" verticalDpi="300" r:id="rId1"/>
  <headerFooter alignWithMargins="0"/>
  <rowBreaks count="4" manualBreakCount="4">
    <brk id="32" max="19" man="1"/>
    <brk id="45" max="19" man="1"/>
    <brk id="62" max="19" man="1"/>
    <brk id="9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9"/>
  <sheetViews>
    <sheetView topLeftCell="B80" zoomScale="25" zoomScaleNormal="25" workbookViewId="0">
      <selection activeCell="B80" sqref="A1:XFD1048576"/>
    </sheetView>
  </sheetViews>
  <sheetFormatPr defaultColWidth="8.42578125" defaultRowHeight="45" x14ac:dyDescent="0.6"/>
  <cols>
    <col min="1" max="1" width="39.140625" style="15" customWidth="1"/>
    <col min="2" max="2" width="44.140625" style="1" customWidth="1"/>
    <col min="3" max="3" width="29.7109375" style="2" customWidth="1"/>
    <col min="4" max="4" width="1.28515625" style="31" customWidth="1"/>
    <col min="5" max="5" width="153.5703125" style="1" customWidth="1"/>
    <col min="6" max="6" width="83.42578125" style="3" customWidth="1"/>
    <col min="7" max="7" width="62.28515625" style="1" customWidth="1"/>
    <col min="8" max="8" width="69.7109375" style="1" customWidth="1"/>
    <col min="9" max="9" width="56.85546875" style="1" customWidth="1"/>
    <col min="10" max="10" width="69.7109375" style="4" customWidth="1"/>
    <col min="11" max="11" width="66.7109375" style="1" customWidth="1"/>
    <col min="12" max="12" width="67.28515625" style="1" customWidth="1"/>
    <col min="13" max="13" width="48.42578125" style="1" customWidth="1"/>
    <col min="14" max="14" width="65.85546875" style="5" customWidth="1"/>
    <col min="15" max="15" width="65.5703125" style="6" customWidth="1"/>
    <col min="16" max="16" width="71.42578125" style="6" customWidth="1"/>
    <col min="17" max="17" width="52" style="6" customWidth="1"/>
    <col min="18" max="18" width="35.42578125" style="6" hidden="1" customWidth="1"/>
    <col min="19" max="19" width="37.7109375" style="6" hidden="1" customWidth="1"/>
    <col min="20" max="20" width="60.140625" style="6" customWidth="1"/>
    <col min="21" max="21" width="60.42578125" style="7" customWidth="1"/>
    <col min="22" max="22" width="18.42578125" style="7" customWidth="1"/>
    <col min="23" max="23" width="20.42578125" style="7" customWidth="1"/>
    <col min="24" max="24" width="21.42578125" style="7" customWidth="1"/>
    <col min="25" max="25" width="18.42578125" style="7" customWidth="1"/>
    <col min="26" max="26" width="17.42578125" style="7" customWidth="1"/>
    <col min="27" max="32" width="8.42578125" style="7" customWidth="1"/>
    <col min="33" max="39" width="8.42578125" style="6" customWidth="1"/>
    <col min="40" max="247" width="8.42578125" style="1" customWidth="1"/>
  </cols>
  <sheetData>
    <row r="1" spans="1:40" ht="12.75" customHeight="1" x14ac:dyDescent="0.4">
      <c r="A1" s="8"/>
      <c r="B1" s="8"/>
      <c r="C1" s="8"/>
      <c r="D1" s="2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40" ht="12.75" customHeight="1" x14ac:dyDescent="0.4">
      <c r="A2" s="8"/>
      <c r="B2" s="8"/>
      <c r="C2" s="8"/>
      <c r="D2" s="2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40" ht="29.25" customHeight="1" x14ac:dyDescent="0.4">
      <c r="A3" s="9"/>
      <c r="B3" s="9"/>
      <c r="C3" s="10"/>
      <c r="D3" s="30"/>
      <c r="E3" s="9"/>
      <c r="F3" s="11"/>
      <c r="G3" s="9"/>
      <c r="H3" s="9"/>
      <c r="I3" s="9"/>
      <c r="J3" s="11"/>
      <c r="K3" s="9"/>
      <c r="L3" s="9"/>
      <c r="M3" s="9"/>
      <c r="N3" s="12"/>
    </row>
    <row r="4" spans="1:40" ht="45.2" customHeight="1" x14ac:dyDescent="0.4">
      <c r="A4" s="9"/>
      <c r="B4" s="9"/>
      <c r="C4" s="10"/>
      <c r="D4" s="30"/>
      <c r="E4" s="9"/>
      <c r="F4" s="11"/>
      <c r="G4" s="9"/>
      <c r="H4" s="9"/>
      <c r="I4" s="9"/>
      <c r="J4" s="11"/>
      <c r="K4" s="9"/>
      <c r="L4" s="9"/>
      <c r="M4" s="9"/>
      <c r="N4" s="12"/>
    </row>
    <row r="5" spans="1:40" ht="54.75" customHeight="1" x14ac:dyDescent="0.4">
      <c r="A5" s="238" t="s">
        <v>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</row>
    <row r="6" spans="1:40" ht="59.25" customHeight="1" x14ac:dyDescent="0.4">
      <c r="A6" s="238" t="s">
        <v>114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</row>
    <row r="7" spans="1:40" s="15" customFormat="1" ht="57" customHeight="1" x14ac:dyDescent="0.2">
      <c r="A7" s="238" t="s">
        <v>64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4"/>
      <c r="AH7" s="14"/>
      <c r="AI7" s="14"/>
      <c r="AJ7" s="14"/>
      <c r="AK7" s="14"/>
      <c r="AL7" s="14"/>
      <c r="AM7" s="14"/>
    </row>
    <row r="8" spans="1:40" ht="24.4" customHeight="1" x14ac:dyDescent="0.4">
      <c r="A8" s="32"/>
      <c r="B8" s="42"/>
      <c r="C8" s="43"/>
      <c r="D8" s="44"/>
      <c r="E8" s="42"/>
      <c r="F8" s="45"/>
      <c r="G8" s="42"/>
      <c r="H8" s="42"/>
      <c r="I8" s="42"/>
      <c r="J8" s="45"/>
      <c r="K8" s="42"/>
      <c r="L8" s="42"/>
      <c r="M8" s="42"/>
      <c r="N8" s="46"/>
      <c r="O8" s="46"/>
      <c r="P8" s="46"/>
      <c r="Q8" s="46"/>
      <c r="R8" s="46"/>
      <c r="S8" s="47"/>
      <c r="T8" s="48" t="s">
        <v>1</v>
      </c>
    </row>
    <row r="9" spans="1:40" ht="69.400000000000006" customHeight="1" x14ac:dyDescent="0.4">
      <c r="A9" s="239" t="s">
        <v>2</v>
      </c>
      <c r="B9" s="251" t="s">
        <v>3</v>
      </c>
      <c r="C9" s="243" t="s">
        <v>4</v>
      </c>
      <c r="D9" s="252"/>
      <c r="E9" s="247" t="s">
        <v>5</v>
      </c>
      <c r="F9" s="248" t="s">
        <v>104</v>
      </c>
      <c r="G9" s="221" t="s">
        <v>6</v>
      </c>
      <c r="H9" s="221"/>
      <c r="I9" s="221"/>
      <c r="J9" s="237" t="s">
        <v>7</v>
      </c>
      <c r="K9" s="221" t="s">
        <v>6</v>
      </c>
      <c r="L9" s="221"/>
      <c r="M9" s="221"/>
      <c r="N9" s="250" t="s">
        <v>8</v>
      </c>
      <c r="O9" s="221" t="s">
        <v>6</v>
      </c>
      <c r="P9" s="221"/>
      <c r="Q9" s="221"/>
      <c r="R9" s="231" t="s">
        <v>30</v>
      </c>
      <c r="S9" s="231"/>
      <c r="T9" s="249" t="s">
        <v>9</v>
      </c>
    </row>
    <row r="10" spans="1:40" ht="123" customHeight="1" x14ac:dyDescent="0.4">
      <c r="A10" s="239"/>
      <c r="B10" s="251"/>
      <c r="C10" s="243"/>
      <c r="D10" s="252"/>
      <c r="E10" s="247"/>
      <c r="F10" s="248"/>
      <c r="G10" s="221" t="s">
        <v>10</v>
      </c>
      <c r="H10" s="221" t="s">
        <v>11</v>
      </c>
      <c r="I10" s="221" t="s">
        <v>12</v>
      </c>
      <c r="J10" s="237"/>
      <c r="K10" s="221" t="s">
        <v>10</v>
      </c>
      <c r="L10" s="221" t="s">
        <v>13</v>
      </c>
      <c r="M10" s="221" t="s">
        <v>14</v>
      </c>
      <c r="N10" s="250"/>
      <c r="O10" s="221" t="s">
        <v>10</v>
      </c>
      <c r="P10" s="221" t="s">
        <v>13</v>
      </c>
      <c r="Q10" s="221" t="s">
        <v>12</v>
      </c>
      <c r="R10" s="221" t="s">
        <v>19</v>
      </c>
      <c r="S10" s="221" t="s">
        <v>15</v>
      </c>
      <c r="T10" s="249"/>
    </row>
    <row r="11" spans="1:40" s="16" customFormat="1" ht="104.25" customHeight="1" x14ac:dyDescent="0.4">
      <c r="A11" s="239"/>
      <c r="B11" s="251"/>
      <c r="C11" s="243"/>
      <c r="D11" s="252"/>
      <c r="E11" s="247"/>
      <c r="F11" s="248"/>
      <c r="G11" s="221"/>
      <c r="H11" s="221"/>
      <c r="I11" s="221"/>
      <c r="J11" s="237"/>
      <c r="K11" s="221"/>
      <c r="L11" s="221"/>
      <c r="M11" s="221"/>
      <c r="N11" s="250"/>
      <c r="O11" s="221"/>
      <c r="P11" s="221"/>
      <c r="Q11" s="221"/>
      <c r="R11" s="221"/>
      <c r="S11" s="221"/>
      <c r="T11" s="249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6"/>
      <c r="AH11" s="6"/>
      <c r="AI11" s="6"/>
      <c r="AJ11" s="6"/>
      <c r="AK11" s="6"/>
      <c r="AL11" s="6"/>
      <c r="AM11" s="6"/>
      <c r="AN11" s="1"/>
    </row>
    <row r="12" spans="1:40" s="18" customFormat="1" ht="378.75" customHeight="1" x14ac:dyDescent="0.4">
      <c r="A12" s="216">
        <v>1512010</v>
      </c>
      <c r="B12" s="49"/>
      <c r="C12" s="50">
        <v>3132</v>
      </c>
      <c r="D12" s="51"/>
      <c r="E12" s="52" t="s">
        <v>105</v>
      </c>
      <c r="F12" s="53">
        <f>G12+H12+I12</f>
        <v>40000</v>
      </c>
      <c r="G12" s="174">
        <v>40000</v>
      </c>
      <c r="H12" s="55"/>
      <c r="I12" s="55"/>
      <c r="J12" s="56">
        <f>SUM(K12:M12)</f>
        <v>0</v>
      </c>
      <c r="K12" s="55"/>
      <c r="L12" s="55"/>
      <c r="M12" s="55"/>
      <c r="N12" s="57">
        <f>SUM(O12:Q12)</f>
        <v>0</v>
      </c>
      <c r="O12" s="55"/>
      <c r="P12" s="55"/>
      <c r="Q12" s="58"/>
      <c r="R12" s="55"/>
      <c r="S12" s="55"/>
      <c r="T12" s="55">
        <f>J12-N12</f>
        <v>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7"/>
      <c r="AH12" s="17"/>
      <c r="AI12" s="17"/>
      <c r="AJ12" s="17"/>
      <c r="AK12" s="17"/>
      <c r="AL12" s="17"/>
      <c r="AM12" s="17"/>
    </row>
    <row r="13" spans="1:40" s="18" customFormat="1" ht="378.75" customHeight="1" x14ac:dyDescent="0.4">
      <c r="A13" s="217"/>
      <c r="B13" s="49"/>
      <c r="C13" s="50">
        <v>3132</v>
      </c>
      <c r="D13" s="51"/>
      <c r="E13" s="52" t="s">
        <v>107</v>
      </c>
      <c r="F13" s="53">
        <f>G13+H13+I13</f>
        <v>7000000</v>
      </c>
      <c r="G13" s="174">
        <v>7000000</v>
      </c>
      <c r="H13" s="55"/>
      <c r="I13" s="55"/>
      <c r="J13" s="56">
        <f>SUM(K13:M13)</f>
        <v>0</v>
      </c>
      <c r="K13" s="55"/>
      <c r="L13" s="55"/>
      <c r="M13" s="55"/>
      <c r="N13" s="57">
        <f>SUM(O13:Q13)</f>
        <v>0</v>
      </c>
      <c r="O13" s="55"/>
      <c r="P13" s="55"/>
      <c r="Q13" s="58"/>
      <c r="R13" s="55"/>
      <c r="S13" s="55"/>
      <c r="T13" s="55">
        <f>J13-N13</f>
        <v>0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7"/>
      <c r="AH13" s="17"/>
      <c r="AI13" s="17"/>
      <c r="AJ13" s="17"/>
      <c r="AK13" s="17"/>
      <c r="AL13" s="17"/>
      <c r="AM13" s="17"/>
    </row>
    <row r="14" spans="1:40" s="18" customFormat="1" ht="57.75" customHeight="1" x14ac:dyDescent="0.4">
      <c r="A14" s="256" t="s">
        <v>106</v>
      </c>
      <c r="B14" s="256"/>
      <c r="C14" s="256"/>
      <c r="D14" s="256"/>
      <c r="E14" s="256"/>
      <c r="F14" s="94">
        <f t="shared" ref="F14:F84" si="0">G14+H14+I14</f>
        <v>7040000</v>
      </c>
      <c r="G14" s="171">
        <f t="shared" ref="G14:T14" si="1">SUM(G12:G13)</f>
        <v>7040000</v>
      </c>
      <c r="H14" s="171">
        <f t="shared" si="1"/>
        <v>0</v>
      </c>
      <c r="I14" s="171">
        <f t="shared" si="1"/>
        <v>0</v>
      </c>
      <c r="J14" s="171">
        <f t="shared" si="1"/>
        <v>0</v>
      </c>
      <c r="K14" s="171">
        <f t="shared" si="1"/>
        <v>0</v>
      </c>
      <c r="L14" s="171">
        <f t="shared" si="1"/>
        <v>0</v>
      </c>
      <c r="M14" s="171">
        <f t="shared" si="1"/>
        <v>0</v>
      </c>
      <c r="N14" s="171">
        <f t="shared" si="1"/>
        <v>0</v>
      </c>
      <c r="O14" s="171">
        <f t="shared" si="1"/>
        <v>0</v>
      </c>
      <c r="P14" s="171">
        <f t="shared" si="1"/>
        <v>0</v>
      </c>
      <c r="Q14" s="171">
        <f t="shared" si="1"/>
        <v>0</v>
      </c>
      <c r="R14" s="171">
        <f t="shared" si="1"/>
        <v>0</v>
      </c>
      <c r="S14" s="171">
        <f t="shared" si="1"/>
        <v>0</v>
      </c>
      <c r="T14" s="171">
        <f t="shared" si="1"/>
        <v>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7"/>
      <c r="AH14" s="17"/>
      <c r="AI14" s="17"/>
      <c r="AJ14" s="17"/>
      <c r="AK14" s="17"/>
      <c r="AL14" s="17"/>
      <c r="AM14" s="17"/>
    </row>
    <row r="15" spans="1:40" s="18" customFormat="1" ht="208.5" customHeight="1" x14ac:dyDescent="0.4">
      <c r="A15" s="33">
        <v>1512020</v>
      </c>
      <c r="B15" s="49"/>
      <c r="C15" s="50">
        <v>3132</v>
      </c>
      <c r="D15" s="51"/>
      <c r="E15" s="52" t="s">
        <v>109</v>
      </c>
      <c r="F15" s="53">
        <f t="shared" si="0"/>
        <v>300000</v>
      </c>
      <c r="G15" s="174">
        <v>300000</v>
      </c>
      <c r="H15" s="55"/>
      <c r="I15" s="55"/>
      <c r="J15" s="56">
        <f>SUM(K15:M15)</f>
        <v>0</v>
      </c>
      <c r="K15" s="55"/>
      <c r="L15" s="55"/>
      <c r="M15" s="55"/>
      <c r="N15" s="57">
        <f>SUM(O15:Q15)</f>
        <v>0</v>
      </c>
      <c r="O15" s="55"/>
      <c r="P15" s="55"/>
      <c r="Q15" s="58"/>
      <c r="R15" s="55"/>
      <c r="S15" s="55"/>
      <c r="T15" s="55">
        <f>J15-N15</f>
        <v>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7"/>
      <c r="AH15" s="17"/>
      <c r="AI15" s="17"/>
      <c r="AJ15" s="17"/>
      <c r="AK15" s="17"/>
      <c r="AL15" s="17"/>
      <c r="AM15" s="17"/>
    </row>
    <row r="16" spans="1:40" s="18" customFormat="1" ht="48.75" customHeight="1" x14ac:dyDescent="0.4">
      <c r="A16" s="256" t="s">
        <v>108</v>
      </c>
      <c r="B16" s="256"/>
      <c r="C16" s="256"/>
      <c r="D16" s="256"/>
      <c r="E16" s="256"/>
      <c r="F16" s="94">
        <f t="shared" si="0"/>
        <v>300000</v>
      </c>
      <c r="G16" s="171">
        <f>SUM(G15)</f>
        <v>300000</v>
      </c>
      <c r="H16" s="171">
        <f>SUM(H15)</f>
        <v>0</v>
      </c>
      <c r="I16" s="171">
        <f t="shared" ref="I16:T16" si="2">SUM(I15:I15)</f>
        <v>0</v>
      </c>
      <c r="J16" s="171">
        <f t="shared" si="2"/>
        <v>0</v>
      </c>
      <c r="K16" s="171">
        <f t="shared" si="2"/>
        <v>0</v>
      </c>
      <c r="L16" s="171">
        <f t="shared" si="2"/>
        <v>0</v>
      </c>
      <c r="M16" s="171">
        <f t="shared" si="2"/>
        <v>0</v>
      </c>
      <c r="N16" s="171">
        <f t="shared" si="2"/>
        <v>0</v>
      </c>
      <c r="O16" s="171">
        <f t="shared" si="2"/>
        <v>0</v>
      </c>
      <c r="P16" s="171">
        <f t="shared" si="2"/>
        <v>0</v>
      </c>
      <c r="Q16" s="171">
        <f t="shared" si="2"/>
        <v>0</v>
      </c>
      <c r="R16" s="171">
        <f t="shared" si="2"/>
        <v>0</v>
      </c>
      <c r="S16" s="171">
        <f t="shared" si="2"/>
        <v>0</v>
      </c>
      <c r="T16" s="171">
        <f t="shared" si="2"/>
        <v>0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7"/>
      <c r="AH16" s="17"/>
      <c r="AI16" s="17"/>
      <c r="AJ16" s="17"/>
      <c r="AK16" s="17"/>
      <c r="AL16" s="17"/>
      <c r="AM16" s="17"/>
    </row>
    <row r="17" spans="1:40" s="18" customFormat="1" ht="294" customHeight="1" x14ac:dyDescent="0.4">
      <c r="A17" s="33">
        <v>1514040</v>
      </c>
      <c r="B17" s="49"/>
      <c r="C17" s="50">
        <v>3132</v>
      </c>
      <c r="D17" s="51"/>
      <c r="E17" s="52" t="s">
        <v>110</v>
      </c>
      <c r="F17" s="53">
        <f t="shared" si="0"/>
        <v>250000</v>
      </c>
      <c r="G17" s="174">
        <v>250000</v>
      </c>
      <c r="H17" s="55"/>
      <c r="I17" s="55"/>
      <c r="J17" s="56">
        <f>SUM(K17:M17)</f>
        <v>0</v>
      </c>
      <c r="K17" s="55"/>
      <c r="L17" s="55"/>
      <c r="M17" s="55"/>
      <c r="N17" s="57">
        <f>SUM(O17:Q17)</f>
        <v>0</v>
      </c>
      <c r="O17" s="55"/>
      <c r="P17" s="55"/>
      <c r="Q17" s="58"/>
      <c r="R17" s="55"/>
      <c r="S17" s="55"/>
      <c r="T17" s="55">
        <f>J17-N17</f>
        <v>0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7"/>
      <c r="AH17" s="17"/>
      <c r="AI17" s="17"/>
      <c r="AJ17" s="17"/>
      <c r="AK17" s="17"/>
      <c r="AL17" s="17"/>
      <c r="AM17" s="17"/>
    </row>
    <row r="18" spans="1:40" s="18" customFormat="1" ht="48.75" customHeight="1" x14ac:dyDescent="0.4">
      <c r="A18" s="256" t="s">
        <v>111</v>
      </c>
      <c r="B18" s="256"/>
      <c r="C18" s="256"/>
      <c r="D18" s="256"/>
      <c r="E18" s="256"/>
      <c r="F18" s="94">
        <f t="shared" si="0"/>
        <v>250000</v>
      </c>
      <c r="G18" s="171">
        <f>SUM(G17)</f>
        <v>250000</v>
      </c>
      <c r="H18" s="171">
        <f>SUM(H17)</f>
        <v>0</v>
      </c>
      <c r="I18" s="171">
        <f t="shared" ref="I18:T18" si="3">SUM(I17:I17)</f>
        <v>0</v>
      </c>
      <c r="J18" s="171">
        <f t="shared" si="3"/>
        <v>0</v>
      </c>
      <c r="K18" s="171">
        <f t="shared" si="3"/>
        <v>0</v>
      </c>
      <c r="L18" s="171">
        <f t="shared" si="3"/>
        <v>0</v>
      </c>
      <c r="M18" s="171">
        <f t="shared" si="3"/>
        <v>0</v>
      </c>
      <c r="N18" s="171">
        <f t="shared" si="3"/>
        <v>0</v>
      </c>
      <c r="O18" s="171">
        <f t="shared" si="3"/>
        <v>0</v>
      </c>
      <c r="P18" s="171">
        <f t="shared" si="3"/>
        <v>0</v>
      </c>
      <c r="Q18" s="171">
        <f t="shared" si="3"/>
        <v>0</v>
      </c>
      <c r="R18" s="171">
        <f t="shared" si="3"/>
        <v>0</v>
      </c>
      <c r="S18" s="171">
        <f t="shared" si="3"/>
        <v>0</v>
      </c>
      <c r="T18" s="171">
        <f t="shared" si="3"/>
        <v>0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7"/>
      <c r="AH18" s="17"/>
      <c r="AI18" s="17"/>
      <c r="AJ18" s="17"/>
      <c r="AK18" s="17"/>
      <c r="AL18" s="17"/>
      <c r="AM18" s="17"/>
    </row>
    <row r="19" spans="1:40" s="28" customFormat="1" ht="5.25" customHeight="1" x14ac:dyDescent="0.4">
      <c r="A19" s="141"/>
      <c r="B19" s="160"/>
      <c r="C19" s="141"/>
      <c r="D19" s="136"/>
      <c r="E19" s="137"/>
      <c r="F19" s="53">
        <f t="shared" si="0"/>
        <v>0</v>
      </c>
      <c r="G19" s="104"/>
      <c r="H19" s="72"/>
      <c r="I19" s="104"/>
      <c r="J19" s="138">
        <f>K19+L19+M19</f>
        <v>0</v>
      </c>
      <c r="K19" s="104"/>
      <c r="L19" s="72"/>
      <c r="M19" s="104"/>
      <c r="N19" s="74"/>
      <c r="O19" s="72"/>
      <c r="P19" s="72"/>
      <c r="Q19" s="72"/>
      <c r="R19" s="72"/>
      <c r="S19" s="72"/>
      <c r="T19" s="72">
        <f>J19-N19</f>
        <v>0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7"/>
      <c r="AH19" s="27"/>
      <c r="AI19" s="27"/>
      <c r="AJ19" s="27"/>
      <c r="AK19" s="27"/>
      <c r="AL19" s="27"/>
      <c r="AM19" s="27"/>
    </row>
    <row r="20" spans="1:40" s="7" customFormat="1" ht="366" customHeight="1" x14ac:dyDescent="0.4">
      <c r="A20" s="222">
        <v>1517322</v>
      </c>
      <c r="B20" s="122"/>
      <c r="C20" s="50">
        <v>3142</v>
      </c>
      <c r="D20" s="51"/>
      <c r="E20" s="52" t="s">
        <v>112</v>
      </c>
      <c r="F20" s="53">
        <f t="shared" si="0"/>
        <v>700000</v>
      </c>
      <c r="G20" s="55">
        <v>700000</v>
      </c>
      <c r="H20" s="55"/>
      <c r="I20" s="55"/>
      <c r="J20" s="56">
        <f>SUM(K20:M20)</f>
        <v>0</v>
      </c>
      <c r="K20" s="55"/>
      <c r="L20" s="55"/>
      <c r="M20" s="55"/>
      <c r="N20" s="57">
        <f t="shared" ref="N20:N24" si="4">SUM(O20:Q20)</f>
        <v>0</v>
      </c>
      <c r="O20" s="55"/>
      <c r="P20" s="55"/>
      <c r="Q20" s="58"/>
      <c r="R20" s="55"/>
      <c r="S20" s="55"/>
      <c r="T20" s="55">
        <f t="shared" ref="T20:T24" si="5">J20-N20</f>
        <v>0</v>
      </c>
      <c r="AG20" s="6"/>
      <c r="AH20" s="6"/>
      <c r="AI20" s="6"/>
      <c r="AJ20" s="6"/>
      <c r="AK20" s="6"/>
      <c r="AL20" s="6"/>
      <c r="AM20" s="6"/>
      <c r="AN20" s="1"/>
    </row>
    <row r="21" spans="1:40" s="7" customFormat="1" ht="312" customHeight="1" x14ac:dyDescent="0.4">
      <c r="A21" s="257"/>
      <c r="B21" s="122"/>
      <c r="C21" s="50">
        <v>3142</v>
      </c>
      <c r="D21" s="62">
        <v>415</v>
      </c>
      <c r="E21" s="52" t="s">
        <v>113</v>
      </c>
      <c r="F21" s="53">
        <f t="shared" si="0"/>
        <v>2950000</v>
      </c>
      <c r="G21" s="55">
        <v>2950000</v>
      </c>
      <c r="H21" s="55"/>
      <c r="I21" s="55"/>
      <c r="J21" s="56">
        <f>SUM(K21:M21)</f>
        <v>0</v>
      </c>
      <c r="K21" s="55"/>
      <c r="L21" s="55"/>
      <c r="M21" s="55"/>
      <c r="N21" s="57">
        <f t="shared" si="4"/>
        <v>0</v>
      </c>
      <c r="O21" s="55"/>
      <c r="P21" s="55"/>
      <c r="Q21" s="58"/>
      <c r="R21" s="55"/>
      <c r="S21" s="55"/>
      <c r="T21" s="55">
        <f t="shared" si="5"/>
        <v>0</v>
      </c>
      <c r="AG21" s="6"/>
      <c r="AH21" s="6"/>
      <c r="AI21" s="6"/>
      <c r="AJ21" s="6"/>
      <c r="AK21" s="6"/>
      <c r="AL21" s="6"/>
      <c r="AM21" s="6"/>
      <c r="AN21" s="1"/>
    </row>
    <row r="22" spans="1:40" s="7" customFormat="1" ht="371.25" customHeight="1" x14ac:dyDescent="0.4">
      <c r="A22" s="257"/>
      <c r="B22" s="122"/>
      <c r="C22" s="50">
        <v>3142</v>
      </c>
      <c r="D22" s="51"/>
      <c r="E22" s="52" t="s">
        <v>115</v>
      </c>
      <c r="F22" s="53">
        <f t="shared" si="0"/>
        <v>1450000</v>
      </c>
      <c r="G22" s="55">
        <v>1450000</v>
      </c>
      <c r="H22" s="55"/>
      <c r="I22" s="55"/>
      <c r="J22" s="56">
        <f>SUM(K22:M22)</f>
        <v>0</v>
      </c>
      <c r="K22" s="55"/>
      <c r="L22" s="55"/>
      <c r="M22" s="55"/>
      <c r="N22" s="57">
        <f t="shared" si="4"/>
        <v>0</v>
      </c>
      <c r="O22" s="55"/>
      <c r="P22" s="55"/>
      <c r="Q22" s="58"/>
      <c r="R22" s="55"/>
      <c r="S22" s="55"/>
      <c r="T22" s="55">
        <f t="shared" si="5"/>
        <v>0</v>
      </c>
      <c r="AG22" s="6"/>
      <c r="AH22" s="6"/>
      <c r="AI22" s="6"/>
      <c r="AJ22" s="6"/>
      <c r="AK22" s="6"/>
      <c r="AL22" s="6"/>
      <c r="AM22" s="6"/>
      <c r="AN22" s="1"/>
    </row>
    <row r="23" spans="1:40" s="7" customFormat="1" ht="354.75" customHeight="1" x14ac:dyDescent="0.4">
      <c r="A23" s="257"/>
      <c r="B23" s="122"/>
      <c r="C23" s="50">
        <v>3142</v>
      </c>
      <c r="D23" s="51"/>
      <c r="E23" s="36" t="s">
        <v>116</v>
      </c>
      <c r="F23" s="53">
        <f t="shared" si="0"/>
        <v>210000</v>
      </c>
      <c r="G23" s="55">
        <v>210000</v>
      </c>
      <c r="H23" s="55"/>
      <c r="I23" s="55"/>
      <c r="J23" s="56">
        <f t="shared" ref="J23:J24" si="6">SUM(K23:M23)</f>
        <v>0</v>
      </c>
      <c r="K23" s="55"/>
      <c r="L23" s="55"/>
      <c r="M23" s="55"/>
      <c r="N23" s="57">
        <f t="shared" si="4"/>
        <v>0</v>
      </c>
      <c r="O23" s="55"/>
      <c r="P23" s="55"/>
      <c r="Q23" s="58"/>
      <c r="R23" s="55"/>
      <c r="S23" s="55"/>
      <c r="T23" s="55">
        <f t="shared" si="5"/>
        <v>0</v>
      </c>
      <c r="AG23" s="6"/>
      <c r="AH23" s="6"/>
      <c r="AI23" s="6"/>
      <c r="AJ23" s="6"/>
      <c r="AK23" s="6"/>
      <c r="AL23" s="6"/>
      <c r="AM23" s="6"/>
      <c r="AN23" s="1"/>
    </row>
    <row r="24" spans="1:40" s="7" customFormat="1" ht="160.5" customHeight="1" x14ac:dyDescent="0.4">
      <c r="A24" s="257"/>
      <c r="B24" s="122"/>
      <c r="C24" s="50">
        <v>3142</v>
      </c>
      <c r="D24" s="51"/>
      <c r="E24" s="121" t="s">
        <v>69</v>
      </c>
      <c r="F24" s="53">
        <f t="shared" si="0"/>
        <v>230000</v>
      </c>
      <c r="G24" s="55">
        <v>230000</v>
      </c>
      <c r="H24" s="55"/>
      <c r="I24" s="55"/>
      <c r="J24" s="56">
        <f t="shared" si="6"/>
        <v>0</v>
      </c>
      <c r="K24" s="55"/>
      <c r="L24" s="55"/>
      <c r="M24" s="55"/>
      <c r="N24" s="57">
        <f t="shared" si="4"/>
        <v>0</v>
      </c>
      <c r="O24" s="55"/>
      <c r="P24" s="55"/>
      <c r="Q24" s="58"/>
      <c r="R24" s="55"/>
      <c r="S24" s="55"/>
      <c r="T24" s="55">
        <f t="shared" si="5"/>
        <v>0</v>
      </c>
      <c r="AG24" s="6"/>
      <c r="AH24" s="6"/>
      <c r="AI24" s="6"/>
      <c r="AJ24" s="6"/>
      <c r="AK24" s="6"/>
      <c r="AL24" s="6"/>
      <c r="AM24" s="6"/>
      <c r="AN24" s="1"/>
    </row>
    <row r="25" spans="1:40" s="7" customFormat="1" ht="409.6" customHeight="1" x14ac:dyDescent="0.4">
      <c r="A25" s="257"/>
      <c r="B25" s="122"/>
      <c r="C25" s="50">
        <v>3142</v>
      </c>
      <c r="D25" s="51"/>
      <c r="E25" s="121" t="s">
        <v>127</v>
      </c>
      <c r="F25" s="53">
        <f t="shared" si="0"/>
        <v>10000</v>
      </c>
      <c r="G25" s="55">
        <v>10000</v>
      </c>
      <c r="H25" s="55"/>
      <c r="I25" s="55"/>
      <c r="J25" s="56"/>
      <c r="K25" s="55"/>
      <c r="L25" s="55"/>
      <c r="M25" s="55"/>
      <c r="N25" s="57"/>
      <c r="O25" s="55"/>
      <c r="P25" s="55"/>
      <c r="Q25" s="58"/>
      <c r="R25" s="55"/>
      <c r="S25" s="55"/>
      <c r="T25" s="55"/>
      <c r="AG25" s="6"/>
      <c r="AH25" s="6"/>
      <c r="AI25" s="6"/>
      <c r="AJ25" s="6"/>
      <c r="AK25" s="6"/>
      <c r="AL25" s="6"/>
      <c r="AM25" s="6"/>
      <c r="AN25" s="1"/>
    </row>
    <row r="26" spans="1:40" s="7" customFormat="1" ht="260.25" customHeight="1" x14ac:dyDescent="0.4">
      <c r="A26" s="257"/>
      <c r="B26" s="122"/>
      <c r="C26" s="50">
        <v>3142</v>
      </c>
      <c r="D26" s="51"/>
      <c r="E26" s="121" t="s">
        <v>128</v>
      </c>
      <c r="F26" s="53">
        <f t="shared" si="0"/>
        <v>10000</v>
      </c>
      <c r="G26" s="55">
        <v>10000</v>
      </c>
      <c r="H26" s="55"/>
      <c r="I26" s="55"/>
      <c r="J26" s="56"/>
      <c r="K26" s="55"/>
      <c r="L26" s="55"/>
      <c r="M26" s="55"/>
      <c r="N26" s="57"/>
      <c r="O26" s="55"/>
      <c r="P26" s="55"/>
      <c r="Q26" s="58"/>
      <c r="R26" s="55"/>
      <c r="S26" s="55"/>
      <c r="T26" s="55"/>
      <c r="AG26" s="6"/>
      <c r="AH26" s="6"/>
      <c r="AI26" s="6"/>
      <c r="AJ26" s="6"/>
      <c r="AK26" s="6"/>
      <c r="AL26" s="6"/>
      <c r="AM26" s="6"/>
      <c r="AN26" s="1"/>
    </row>
    <row r="27" spans="1:40" s="7" customFormat="1" ht="251.25" customHeight="1" x14ac:dyDescent="0.4">
      <c r="A27" s="257"/>
      <c r="B27" s="122"/>
      <c r="C27" s="50">
        <v>3142</v>
      </c>
      <c r="D27" s="51"/>
      <c r="E27" s="121" t="s">
        <v>129</v>
      </c>
      <c r="F27" s="53">
        <f t="shared" si="0"/>
        <v>10000</v>
      </c>
      <c r="G27" s="55">
        <v>10000</v>
      </c>
      <c r="H27" s="55"/>
      <c r="I27" s="55"/>
      <c r="J27" s="56"/>
      <c r="K27" s="55"/>
      <c r="L27" s="55"/>
      <c r="M27" s="55"/>
      <c r="N27" s="57"/>
      <c r="O27" s="55"/>
      <c r="P27" s="55"/>
      <c r="Q27" s="58"/>
      <c r="R27" s="55"/>
      <c r="S27" s="55"/>
      <c r="T27" s="55"/>
      <c r="AG27" s="6"/>
      <c r="AH27" s="6"/>
      <c r="AI27" s="6"/>
      <c r="AJ27" s="6"/>
      <c r="AK27" s="6"/>
      <c r="AL27" s="6"/>
      <c r="AM27" s="6"/>
      <c r="AN27" s="1"/>
    </row>
    <row r="28" spans="1:40" s="7" customFormat="1" ht="314.25" customHeight="1" x14ac:dyDescent="0.4">
      <c r="A28" s="257"/>
      <c r="B28" s="122"/>
      <c r="C28" s="50">
        <v>3142</v>
      </c>
      <c r="D28" s="51"/>
      <c r="E28" s="121" t="s">
        <v>130</v>
      </c>
      <c r="F28" s="53">
        <f t="shared" si="0"/>
        <v>10000</v>
      </c>
      <c r="G28" s="55">
        <v>10000</v>
      </c>
      <c r="H28" s="55"/>
      <c r="I28" s="55"/>
      <c r="J28" s="56"/>
      <c r="K28" s="55"/>
      <c r="L28" s="55"/>
      <c r="M28" s="55"/>
      <c r="N28" s="57"/>
      <c r="O28" s="55"/>
      <c r="P28" s="55"/>
      <c r="Q28" s="58"/>
      <c r="R28" s="55"/>
      <c r="S28" s="55"/>
      <c r="T28" s="55"/>
      <c r="AG28" s="6"/>
      <c r="AH28" s="6"/>
      <c r="AI28" s="6"/>
      <c r="AJ28" s="6"/>
      <c r="AK28" s="6"/>
      <c r="AL28" s="6"/>
      <c r="AM28" s="6"/>
      <c r="AN28" s="1"/>
    </row>
    <row r="29" spans="1:40" s="7" customFormat="1" ht="408" customHeight="1" x14ac:dyDescent="0.4">
      <c r="A29" s="257"/>
      <c r="B29" s="122"/>
      <c r="C29" s="50">
        <v>3142</v>
      </c>
      <c r="D29" s="51"/>
      <c r="E29" s="121" t="s">
        <v>131</v>
      </c>
      <c r="F29" s="53">
        <f t="shared" si="0"/>
        <v>1000000</v>
      </c>
      <c r="G29" s="55">
        <v>1000000</v>
      </c>
      <c r="H29" s="55"/>
      <c r="I29" s="55"/>
      <c r="J29" s="56"/>
      <c r="K29" s="55"/>
      <c r="L29" s="55"/>
      <c r="M29" s="55"/>
      <c r="N29" s="57"/>
      <c r="O29" s="55"/>
      <c r="P29" s="55"/>
      <c r="Q29" s="58"/>
      <c r="R29" s="55"/>
      <c r="S29" s="55"/>
      <c r="T29" s="55"/>
      <c r="AG29" s="6"/>
      <c r="AH29" s="6"/>
      <c r="AI29" s="6"/>
      <c r="AJ29" s="6"/>
      <c r="AK29" s="6"/>
      <c r="AL29" s="6"/>
      <c r="AM29" s="6"/>
      <c r="AN29" s="1"/>
    </row>
    <row r="30" spans="1:40" s="7" customFormat="1" ht="357" customHeight="1" x14ac:dyDescent="0.4">
      <c r="A30" s="258"/>
      <c r="B30" s="122"/>
      <c r="C30" s="50">
        <v>3142</v>
      </c>
      <c r="D30" s="51"/>
      <c r="E30" s="121" t="s">
        <v>132</v>
      </c>
      <c r="F30" s="53">
        <f t="shared" si="0"/>
        <v>40000</v>
      </c>
      <c r="G30" s="55">
        <v>40000</v>
      </c>
      <c r="H30" s="55"/>
      <c r="I30" s="55"/>
      <c r="J30" s="56"/>
      <c r="K30" s="55"/>
      <c r="L30" s="55"/>
      <c r="M30" s="55"/>
      <c r="N30" s="57"/>
      <c r="O30" s="55"/>
      <c r="P30" s="55"/>
      <c r="Q30" s="58"/>
      <c r="R30" s="55"/>
      <c r="S30" s="55"/>
      <c r="T30" s="55"/>
      <c r="AG30" s="6"/>
      <c r="AH30" s="6"/>
      <c r="AI30" s="6"/>
      <c r="AJ30" s="6"/>
      <c r="AK30" s="6"/>
      <c r="AL30" s="6"/>
      <c r="AM30" s="6"/>
      <c r="AN30" s="1"/>
    </row>
    <row r="31" spans="1:40" s="7" customFormat="1" ht="48.75" customHeight="1" x14ac:dyDescent="0.4">
      <c r="A31" s="66" t="s">
        <v>34</v>
      </c>
      <c r="B31" s="66"/>
      <c r="C31" s="60"/>
      <c r="D31" s="61"/>
      <c r="E31" s="60"/>
      <c r="F31" s="177">
        <f t="shared" si="0"/>
        <v>6620000</v>
      </c>
      <c r="G31" s="60">
        <f>SUM(G20:G30)</f>
        <v>6620000</v>
      </c>
      <c r="H31" s="60">
        <f t="shared" ref="H31:T31" si="7">SUM(H20:H24)</f>
        <v>0</v>
      </c>
      <c r="I31" s="60">
        <f t="shared" si="7"/>
        <v>0</v>
      </c>
      <c r="J31" s="60">
        <f t="shared" si="7"/>
        <v>0</v>
      </c>
      <c r="K31" s="60">
        <f t="shared" si="7"/>
        <v>0</v>
      </c>
      <c r="L31" s="60">
        <f t="shared" si="7"/>
        <v>0</v>
      </c>
      <c r="M31" s="60">
        <f t="shared" si="7"/>
        <v>0</v>
      </c>
      <c r="N31" s="60">
        <f t="shared" si="7"/>
        <v>0</v>
      </c>
      <c r="O31" s="60">
        <f t="shared" si="7"/>
        <v>0</v>
      </c>
      <c r="P31" s="60">
        <f t="shared" si="7"/>
        <v>0</v>
      </c>
      <c r="Q31" s="60">
        <f t="shared" si="7"/>
        <v>0</v>
      </c>
      <c r="R31" s="60">
        <f t="shared" si="7"/>
        <v>0</v>
      </c>
      <c r="S31" s="60">
        <f t="shared" si="7"/>
        <v>0</v>
      </c>
      <c r="T31" s="60">
        <f t="shared" si="7"/>
        <v>0</v>
      </c>
      <c r="AG31" s="6"/>
      <c r="AH31" s="6"/>
      <c r="AI31" s="6"/>
      <c r="AJ31" s="6"/>
      <c r="AK31" s="6"/>
      <c r="AL31" s="6"/>
      <c r="AM31" s="6"/>
      <c r="AN31" s="1"/>
    </row>
    <row r="32" spans="1:40" s="24" customFormat="1" ht="314.25" customHeight="1" x14ac:dyDescent="0.4">
      <c r="A32" s="225">
        <v>1517325</v>
      </c>
      <c r="B32" s="180"/>
      <c r="C32" s="68">
        <v>3142</v>
      </c>
      <c r="D32" s="69"/>
      <c r="E32" s="37" t="s">
        <v>117</v>
      </c>
      <c r="F32" s="53">
        <f t="shared" si="0"/>
        <v>700000</v>
      </c>
      <c r="G32" s="72">
        <v>700000</v>
      </c>
      <c r="H32" s="72"/>
      <c r="I32" s="72"/>
      <c r="J32" s="75">
        <f t="shared" ref="J32:J35" si="8">K32+L32+M32</f>
        <v>0</v>
      </c>
      <c r="K32" s="72"/>
      <c r="L32" s="72"/>
      <c r="M32" s="72"/>
      <c r="N32" s="74">
        <f t="shared" ref="N32:N35" si="9">O32+P32+Q32</f>
        <v>0</v>
      </c>
      <c r="O32" s="72"/>
      <c r="P32" s="72"/>
      <c r="Q32" s="72"/>
      <c r="R32" s="72"/>
      <c r="S32" s="72"/>
      <c r="T32" s="72">
        <f>J32-N32</f>
        <v>0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/>
      <c r="AH32" s="20"/>
      <c r="AI32" s="20"/>
      <c r="AJ32" s="20"/>
      <c r="AK32" s="20"/>
      <c r="AL32" s="20"/>
      <c r="AM32" s="20"/>
      <c r="AN32" s="21"/>
    </row>
    <row r="33" spans="1:247" s="24" customFormat="1" ht="213" hidden="1" customHeight="1" x14ac:dyDescent="0.4">
      <c r="A33" s="226"/>
      <c r="B33" s="180"/>
      <c r="C33" s="68">
        <v>3142</v>
      </c>
      <c r="D33" s="69">
        <v>422</v>
      </c>
      <c r="E33" s="123"/>
      <c r="F33" s="53">
        <f t="shared" si="0"/>
        <v>0</v>
      </c>
      <c r="G33" s="72"/>
      <c r="H33" s="72"/>
      <c r="I33" s="72"/>
      <c r="J33" s="75">
        <f t="shared" si="8"/>
        <v>0</v>
      </c>
      <c r="K33" s="72"/>
      <c r="L33" s="72"/>
      <c r="M33" s="72"/>
      <c r="N33" s="74">
        <f t="shared" si="9"/>
        <v>0</v>
      </c>
      <c r="O33" s="72"/>
      <c r="P33" s="72"/>
      <c r="Q33" s="72"/>
      <c r="R33" s="72"/>
      <c r="S33" s="72"/>
      <c r="T33" s="72">
        <f t="shared" ref="T33:T35" si="10">J33-N33</f>
        <v>0</v>
      </c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0"/>
      <c r="AH33" s="20"/>
      <c r="AI33" s="20"/>
      <c r="AJ33" s="20"/>
      <c r="AK33" s="20"/>
      <c r="AL33" s="20"/>
      <c r="AM33" s="20"/>
      <c r="AN33" s="21"/>
    </row>
    <row r="34" spans="1:247" s="24" customFormat="1" ht="404.25" customHeight="1" x14ac:dyDescent="0.4">
      <c r="A34" s="226"/>
      <c r="B34" s="180"/>
      <c r="C34" s="68">
        <v>3122</v>
      </c>
      <c r="D34" s="69"/>
      <c r="E34" s="70" t="s">
        <v>118</v>
      </c>
      <c r="F34" s="53">
        <f t="shared" si="0"/>
        <v>5100000</v>
      </c>
      <c r="G34" s="72">
        <v>5100000</v>
      </c>
      <c r="H34" s="72"/>
      <c r="I34" s="72"/>
      <c r="J34" s="75">
        <f t="shared" si="8"/>
        <v>0</v>
      </c>
      <c r="K34" s="72"/>
      <c r="L34" s="72"/>
      <c r="M34" s="72"/>
      <c r="N34" s="74">
        <f t="shared" si="9"/>
        <v>0</v>
      </c>
      <c r="O34" s="72"/>
      <c r="P34" s="72"/>
      <c r="Q34" s="72"/>
      <c r="R34" s="72"/>
      <c r="S34" s="72"/>
      <c r="T34" s="72">
        <f t="shared" si="10"/>
        <v>0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0"/>
      <c r="AH34" s="20"/>
      <c r="AI34" s="20"/>
      <c r="AJ34" s="20"/>
      <c r="AK34" s="20"/>
      <c r="AL34" s="20"/>
      <c r="AM34" s="20"/>
      <c r="AN34" s="21"/>
    </row>
    <row r="35" spans="1:247" s="24" customFormat="1" ht="162" customHeight="1" x14ac:dyDescent="0.4">
      <c r="A35" s="226"/>
      <c r="B35" s="180"/>
      <c r="C35" s="68">
        <v>3122</v>
      </c>
      <c r="D35" s="69"/>
      <c r="E35" s="70" t="s">
        <v>119</v>
      </c>
      <c r="F35" s="53">
        <f t="shared" si="0"/>
        <v>50000</v>
      </c>
      <c r="G35" s="72">
        <v>50000</v>
      </c>
      <c r="H35" s="72"/>
      <c r="I35" s="72"/>
      <c r="J35" s="75">
        <f t="shared" si="8"/>
        <v>0</v>
      </c>
      <c r="K35" s="72">
        <v>0</v>
      </c>
      <c r="L35" s="72"/>
      <c r="M35" s="72"/>
      <c r="N35" s="74">
        <f t="shared" si="9"/>
        <v>0</v>
      </c>
      <c r="O35" s="72">
        <v>0</v>
      </c>
      <c r="P35" s="72"/>
      <c r="Q35" s="72"/>
      <c r="R35" s="72"/>
      <c r="S35" s="72"/>
      <c r="T35" s="72">
        <f t="shared" si="10"/>
        <v>0</v>
      </c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  <c r="AH35" s="20"/>
      <c r="AI35" s="20"/>
      <c r="AJ35" s="20"/>
      <c r="AK35" s="20"/>
      <c r="AL35" s="20"/>
      <c r="AM35" s="20"/>
      <c r="AN35" s="21"/>
    </row>
    <row r="36" spans="1:247" s="24" customFormat="1" ht="87.75" customHeight="1" x14ac:dyDescent="0.4">
      <c r="A36" s="227"/>
      <c r="B36" s="180"/>
      <c r="C36" s="68"/>
      <c r="D36" s="69"/>
      <c r="E36" s="70"/>
      <c r="F36" s="53"/>
      <c r="G36" s="72"/>
      <c r="H36" s="72"/>
      <c r="I36" s="72"/>
      <c r="J36" s="75"/>
      <c r="K36" s="72"/>
      <c r="L36" s="72"/>
      <c r="M36" s="72"/>
      <c r="N36" s="74"/>
      <c r="O36" s="72"/>
      <c r="P36" s="72"/>
      <c r="Q36" s="72"/>
      <c r="R36" s="72"/>
      <c r="S36" s="72"/>
      <c r="T36" s="72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0"/>
      <c r="AH36" s="20"/>
      <c r="AI36" s="20"/>
      <c r="AJ36" s="20"/>
      <c r="AK36" s="20"/>
      <c r="AL36" s="20"/>
      <c r="AM36" s="20"/>
      <c r="AN36" s="21"/>
    </row>
    <row r="37" spans="1:247" ht="69" customHeight="1" x14ac:dyDescent="0.4">
      <c r="A37" s="66" t="s">
        <v>38</v>
      </c>
      <c r="B37" s="66"/>
      <c r="C37" s="66"/>
      <c r="D37" s="67"/>
      <c r="E37" s="60"/>
      <c r="F37" s="94">
        <f t="shared" si="0"/>
        <v>5850000</v>
      </c>
      <c r="G37" s="60">
        <f t="shared" ref="G37:T37" si="11">SUM(G32:G35)</f>
        <v>5850000</v>
      </c>
      <c r="H37" s="60">
        <f t="shared" si="11"/>
        <v>0</v>
      </c>
      <c r="I37" s="60">
        <f t="shared" si="11"/>
        <v>0</v>
      </c>
      <c r="J37" s="60">
        <f t="shared" si="11"/>
        <v>0</v>
      </c>
      <c r="K37" s="60">
        <f t="shared" si="11"/>
        <v>0</v>
      </c>
      <c r="L37" s="60">
        <f t="shared" si="11"/>
        <v>0</v>
      </c>
      <c r="M37" s="60">
        <f t="shared" si="11"/>
        <v>0</v>
      </c>
      <c r="N37" s="60">
        <f t="shared" si="11"/>
        <v>0</v>
      </c>
      <c r="O37" s="60">
        <f t="shared" si="11"/>
        <v>0</v>
      </c>
      <c r="P37" s="60">
        <f t="shared" si="11"/>
        <v>0</v>
      </c>
      <c r="Q37" s="60">
        <f t="shared" si="11"/>
        <v>0</v>
      </c>
      <c r="R37" s="60">
        <f t="shared" si="11"/>
        <v>0</v>
      </c>
      <c r="S37" s="60">
        <f t="shared" si="11"/>
        <v>0</v>
      </c>
      <c r="T37" s="60">
        <f t="shared" si="11"/>
        <v>0</v>
      </c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</row>
    <row r="38" spans="1:247" s="28" customFormat="1" ht="279" customHeight="1" x14ac:dyDescent="0.4">
      <c r="A38" s="263">
        <v>1517330</v>
      </c>
      <c r="B38" s="181"/>
      <c r="C38" s="77">
        <v>3122</v>
      </c>
      <c r="D38" s="78">
        <v>429</v>
      </c>
      <c r="E38" s="38" t="s">
        <v>120</v>
      </c>
      <c r="F38" s="53">
        <f t="shared" si="0"/>
        <v>150000</v>
      </c>
      <c r="G38" s="79">
        <v>150000</v>
      </c>
      <c r="H38" s="79"/>
      <c r="I38" s="79"/>
      <c r="J38" s="125">
        <v>0</v>
      </c>
      <c r="K38" s="79"/>
      <c r="L38" s="79">
        <v>0</v>
      </c>
      <c r="M38" s="79"/>
      <c r="N38" s="80">
        <v>0</v>
      </c>
      <c r="O38" s="79"/>
      <c r="P38" s="79"/>
      <c r="Q38" s="81"/>
      <c r="R38" s="79"/>
      <c r="S38" s="79"/>
      <c r="T38" s="79">
        <v>0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7"/>
      <c r="AL38" s="27"/>
      <c r="AM38" s="27"/>
    </row>
    <row r="39" spans="1:247" s="28" customFormat="1" ht="319.5" customHeight="1" x14ac:dyDescent="0.4">
      <c r="A39" s="264"/>
      <c r="B39" s="181"/>
      <c r="C39" s="77">
        <v>3142</v>
      </c>
      <c r="D39" s="78"/>
      <c r="E39" s="38" t="s">
        <v>133</v>
      </c>
      <c r="F39" s="53">
        <f t="shared" si="0"/>
        <v>1000000</v>
      </c>
      <c r="G39" s="79">
        <v>1000000</v>
      </c>
      <c r="H39" s="79"/>
      <c r="I39" s="79"/>
      <c r="J39" s="125">
        <v>0</v>
      </c>
      <c r="K39" s="79"/>
      <c r="L39" s="79"/>
      <c r="M39" s="79"/>
      <c r="N39" s="80">
        <v>0</v>
      </c>
      <c r="O39" s="79"/>
      <c r="P39" s="79"/>
      <c r="Q39" s="81"/>
      <c r="R39" s="79"/>
      <c r="S39" s="79"/>
      <c r="T39" s="79">
        <v>0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7"/>
      <c r="AL39" s="27"/>
      <c r="AM39" s="27"/>
    </row>
    <row r="40" spans="1:247" s="28" customFormat="1" ht="71.25" customHeight="1" x14ac:dyDescent="0.4">
      <c r="A40" s="265"/>
      <c r="B40" s="181"/>
      <c r="C40" s="77"/>
      <c r="D40" s="78"/>
      <c r="E40" s="35"/>
      <c r="F40" s="53">
        <f t="shared" si="0"/>
        <v>0</v>
      </c>
      <c r="G40" s="79"/>
      <c r="H40" s="79"/>
      <c r="I40" s="79"/>
      <c r="J40" s="125">
        <v>0</v>
      </c>
      <c r="K40" s="79"/>
      <c r="L40" s="79"/>
      <c r="M40" s="79"/>
      <c r="N40" s="80">
        <v>0</v>
      </c>
      <c r="O40" s="79"/>
      <c r="P40" s="79"/>
      <c r="Q40" s="81"/>
      <c r="R40" s="79"/>
      <c r="S40" s="79"/>
      <c r="T40" s="79">
        <v>0</v>
      </c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7"/>
      <c r="AL40" s="27"/>
      <c r="AM40" s="27"/>
    </row>
    <row r="41" spans="1:247" s="18" customFormat="1" ht="57.75" customHeight="1" x14ac:dyDescent="0.4">
      <c r="A41" s="172" t="s">
        <v>40</v>
      </c>
      <c r="B41" s="172"/>
      <c r="C41" s="172"/>
      <c r="D41" s="172"/>
      <c r="E41" s="172"/>
      <c r="F41" s="94">
        <f t="shared" si="0"/>
        <v>1150000</v>
      </c>
      <c r="G41" s="157">
        <f t="shared" ref="G41:T41" si="12">SUM(G38:G40)</f>
        <v>1150000</v>
      </c>
      <c r="H41" s="157">
        <f t="shared" si="12"/>
        <v>0</v>
      </c>
      <c r="I41" s="157">
        <f t="shared" si="12"/>
        <v>0</v>
      </c>
      <c r="J41" s="157">
        <f t="shared" si="12"/>
        <v>0</v>
      </c>
      <c r="K41" s="157">
        <f t="shared" si="12"/>
        <v>0</v>
      </c>
      <c r="L41" s="157">
        <f t="shared" si="12"/>
        <v>0</v>
      </c>
      <c r="M41" s="157">
        <f t="shared" si="12"/>
        <v>0</v>
      </c>
      <c r="N41" s="157">
        <f t="shared" si="12"/>
        <v>0</v>
      </c>
      <c r="O41" s="157">
        <f t="shared" si="12"/>
        <v>0</v>
      </c>
      <c r="P41" s="157">
        <f t="shared" si="12"/>
        <v>0</v>
      </c>
      <c r="Q41" s="157">
        <f t="shared" si="12"/>
        <v>0</v>
      </c>
      <c r="R41" s="157">
        <f t="shared" si="12"/>
        <v>0</v>
      </c>
      <c r="S41" s="157">
        <f t="shared" si="12"/>
        <v>0</v>
      </c>
      <c r="T41" s="157">
        <f t="shared" si="12"/>
        <v>0</v>
      </c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7"/>
      <c r="AH41" s="17"/>
      <c r="AI41" s="17"/>
      <c r="AJ41" s="17"/>
      <c r="AK41" s="17"/>
      <c r="AL41" s="17"/>
      <c r="AM41" s="17"/>
    </row>
    <row r="42" spans="1:247" s="28" customFormat="1" ht="274.5" customHeight="1" x14ac:dyDescent="0.4">
      <c r="A42" s="259">
        <v>1517340</v>
      </c>
      <c r="B42" s="266"/>
      <c r="C42" s="68">
        <v>3143</v>
      </c>
      <c r="D42" s="168"/>
      <c r="E42" s="169" t="s">
        <v>125</v>
      </c>
      <c r="F42" s="53">
        <f t="shared" si="0"/>
        <v>500000</v>
      </c>
      <c r="G42" s="72">
        <v>500000</v>
      </c>
      <c r="H42" s="104"/>
      <c r="I42" s="104"/>
      <c r="J42" s="158"/>
      <c r="K42" s="104"/>
      <c r="L42" s="104"/>
      <c r="M42" s="104"/>
      <c r="N42" s="159"/>
      <c r="O42" s="104"/>
      <c r="P42" s="104"/>
      <c r="Q42" s="104"/>
      <c r="R42" s="104"/>
      <c r="S42" s="104"/>
      <c r="T42" s="104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7"/>
      <c r="AH42" s="27"/>
      <c r="AI42" s="27"/>
      <c r="AJ42" s="27"/>
      <c r="AK42" s="27"/>
      <c r="AL42" s="27"/>
      <c r="AM42" s="27"/>
    </row>
    <row r="43" spans="1:247" s="28" customFormat="1" ht="180" customHeight="1" x14ac:dyDescent="0.4">
      <c r="A43" s="260"/>
      <c r="B43" s="266"/>
      <c r="C43" s="68">
        <v>3143</v>
      </c>
      <c r="D43" s="168"/>
      <c r="E43" s="169" t="s">
        <v>126</v>
      </c>
      <c r="F43" s="53">
        <f>G43+H43+I43</f>
        <v>50000</v>
      </c>
      <c r="G43" s="72">
        <v>50000</v>
      </c>
      <c r="H43" s="104"/>
      <c r="I43" s="104"/>
      <c r="J43" s="158"/>
      <c r="K43" s="104"/>
      <c r="L43" s="104"/>
      <c r="M43" s="104"/>
      <c r="N43" s="159"/>
      <c r="O43" s="104"/>
      <c r="P43" s="104"/>
      <c r="Q43" s="104"/>
      <c r="R43" s="104"/>
      <c r="S43" s="104"/>
      <c r="T43" s="104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7"/>
      <c r="AH43" s="27"/>
      <c r="AI43" s="27"/>
      <c r="AJ43" s="27"/>
      <c r="AK43" s="27"/>
      <c r="AL43" s="27"/>
      <c r="AM43" s="27"/>
    </row>
    <row r="44" spans="1:247" s="28" customFormat="1" ht="327" customHeight="1" x14ac:dyDescent="0.4">
      <c r="A44" s="261"/>
      <c r="B44" s="182"/>
      <c r="C44" s="68">
        <v>3143</v>
      </c>
      <c r="D44" s="168"/>
      <c r="E44" s="169" t="s">
        <v>134</v>
      </c>
      <c r="F44" s="53">
        <f>G44+H44+I44</f>
        <v>10000</v>
      </c>
      <c r="G44" s="72">
        <v>10000</v>
      </c>
      <c r="H44" s="104"/>
      <c r="I44" s="104"/>
      <c r="J44" s="158"/>
      <c r="K44" s="104"/>
      <c r="L44" s="104"/>
      <c r="M44" s="104"/>
      <c r="N44" s="159"/>
      <c r="O44" s="104"/>
      <c r="P44" s="104"/>
      <c r="Q44" s="104"/>
      <c r="R44" s="104"/>
      <c r="S44" s="104"/>
      <c r="T44" s="104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7"/>
      <c r="AH44" s="27"/>
      <c r="AI44" s="27"/>
      <c r="AJ44" s="27"/>
      <c r="AK44" s="27"/>
      <c r="AL44" s="27"/>
      <c r="AM44" s="27"/>
    </row>
    <row r="45" spans="1:247" s="18" customFormat="1" ht="57.75" customHeight="1" x14ac:dyDescent="0.4">
      <c r="A45" s="170" t="s">
        <v>123</v>
      </c>
      <c r="B45" s="170"/>
      <c r="C45" s="170"/>
      <c r="D45" s="170"/>
      <c r="E45" s="170"/>
      <c r="F45" s="94">
        <f t="shared" si="0"/>
        <v>560000</v>
      </c>
      <c r="G45" s="171">
        <f>SUM(G42:G44)</f>
        <v>560000</v>
      </c>
      <c r="H45" s="171">
        <f t="shared" ref="H45:I45" si="13">SUM(H42:H44)</f>
        <v>0</v>
      </c>
      <c r="I45" s="171">
        <f t="shared" si="13"/>
        <v>0</v>
      </c>
      <c r="J45" s="171">
        <f t="shared" ref="J45:T45" si="14">SUM(J41:J43)</f>
        <v>0</v>
      </c>
      <c r="K45" s="171">
        <f t="shared" si="14"/>
        <v>0</v>
      </c>
      <c r="L45" s="171">
        <f t="shared" si="14"/>
        <v>0</v>
      </c>
      <c r="M45" s="171">
        <f t="shared" si="14"/>
        <v>0</v>
      </c>
      <c r="N45" s="171">
        <f t="shared" si="14"/>
        <v>0</v>
      </c>
      <c r="O45" s="171">
        <f t="shared" si="14"/>
        <v>0</v>
      </c>
      <c r="P45" s="171">
        <f t="shared" si="14"/>
        <v>0</v>
      </c>
      <c r="Q45" s="171">
        <f t="shared" si="14"/>
        <v>0</v>
      </c>
      <c r="R45" s="171">
        <f t="shared" si="14"/>
        <v>0</v>
      </c>
      <c r="S45" s="171">
        <f t="shared" si="14"/>
        <v>0</v>
      </c>
      <c r="T45" s="171">
        <f t="shared" si="14"/>
        <v>0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17"/>
      <c r="AH45" s="17"/>
      <c r="AI45" s="17"/>
      <c r="AJ45" s="17"/>
      <c r="AK45" s="17"/>
      <c r="AL45" s="17"/>
      <c r="AM45" s="17"/>
    </row>
    <row r="46" spans="1:247" s="7" customFormat="1" ht="222.75" customHeight="1" x14ac:dyDescent="0.4">
      <c r="A46" s="192">
        <v>1517360</v>
      </c>
      <c r="B46" s="210">
        <v>1517361</v>
      </c>
      <c r="C46" s="64">
        <v>3122</v>
      </c>
      <c r="D46" s="65">
        <v>419</v>
      </c>
      <c r="E46" s="37" t="s">
        <v>121</v>
      </c>
      <c r="F46" s="53">
        <f t="shared" si="0"/>
        <v>3000000</v>
      </c>
      <c r="G46" s="83"/>
      <c r="H46" s="83"/>
      <c r="I46" s="83">
        <v>3000000</v>
      </c>
      <c r="J46" s="56">
        <f>SUM(K46+L46+M46)</f>
        <v>0</v>
      </c>
      <c r="K46" s="85"/>
      <c r="L46" s="85"/>
      <c r="M46" s="83"/>
      <c r="N46" s="57">
        <f>O46+P46+Q46</f>
        <v>0</v>
      </c>
      <c r="O46" s="85"/>
      <c r="P46" s="85"/>
      <c r="Q46" s="83"/>
      <c r="R46" s="85"/>
      <c r="S46" s="85"/>
      <c r="T46" s="55">
        <f>J46-N46</f>
        <v>0</v>
      </c>
      <c r="AG46" s="6"/>
      <c r="AH46" s="6"/>
      <c r="AI46" s="6"/>
      <c r="AJ46" s="6"/>
      <c r="AK46" s="6"/>
      <c r="AL46" s="6"/>
      <c r="AM46" s="6"/>
      <c r="AN46" s="1"/>
    </row>
    <row r="47" spans="1:247" s="7" customFormat="1" ht="0.75" customHeight="1" x14ac:dyDescent="0.4">
      <c r="A47" s="190"/>
      <c r="B47" s="211"/>
      <c r="C47" s="64"/>
      <c r="D47" s="65">
        <v>426</v>
      </c>
      <c r="E47" s="37"/>
      <c r="F47" s="53">
        <f t="shared" si="0"/>
        <v>0</v>
      </c>
      <c r="G47" s="83"/>
      <c r="H47" s="83"/>
      <c r="I47" s="83"/>
      <c r="J47" s="84">
        <f t="shared" ref="J47:J55" si="15">SUM(K47+L47+M47)</f>
        <v>0</v>
      </c>
      <c r="K47" s="85"/>
      <c r="L47" s="85"/>
      <c r="M47" s="83"/>
      <c r="N47" s="86">
        <f t="shared" ref="N47:N55" si="16">O47+P47+Q47</f>
        <v>0</v>
      </c>
      <c r="O47" s="85"/>
      <c r="P47" s="85"/>
      <c r="Q47" s="83"/>
      <c r="R47" s="85"/>
      <c r="S47" s="85"/>
      <c r="T47" s="55">
        <f t="shared" ref="T47:T55" si="17">J47-N47</f>
        <v>0</v>
      </c>
      <c r="AG47" s="6"/>
      <c r="AH47" s="6"/>
      <c r="AI47" s="6"/>
      <c r="AJ47" s="6"/>
      <c r="AK47" s="6"/>
      <c r="AL47" s="6"/>
      <c r="AM47" s="6"/>
      <c r="AN47" s="1"/>
    </row>
    <row r="48" spans="1:247" s="7" customFormat="1" ht="235.5" customHeight="1" x14ac:dyDescent="0.4">
      <c r="A48" s="190"/>
      <c r="B48" s="211"/>
      <c r="C48" s="64">
        <v>3142</v>
      </c>
      <c r="D48" s="65"/>
      <c r="E48" s="37" t="s">
        <v>135</v>
      </c>
      <c r="F48" s="53">
        <f t="shared" si="0"/>
        <v>1670148</v>
      </c>
      <c r="G48" s="83">
        <v>1670148</v>
      </c>
      <c r="H48" s="83"/>
      <c r="I48" s="83"/>
      <c r="J48" s="183">
        <f t="shared" si="15"/>
        <v>0</v>
      </c>
      <c r="K48" s="85"/>
      <c r="L48" s="85"/>
      <c r="M48" s="83"/>
      <c r="N48" s="57">
        <f t="shared" si="16"/>
        <v>0</v>
      </c>
      <c r="O48" s="85"/>
      <c r="P48" s="85"/>
      <c r="Q48" s="83"/>
      <c r="R48" s="85"/>
      <c r="S48" s="85"/>
      <c r="T48" s="55">
        <f t="shared" si="17"/>
        <v>0</v>
      </c>
      <c r="AG48" s="6"/>
      <c r="AH48" s="6"/>
      <c r="AI48" s="6"/>
      <c r="AJ48" s="6"/>
      <c r="AK48" s="6"/>
      <c r="AL48" s="6"/>
      <c r="AM48" s="6"/>
      <c r="AN48" s="1"/>
    </row>
    <row r="49" spans="1:40" s="7" customFormat="1" ht="409.6" customHeight="1" x14ac:dyDescent="0.4">
      <c r="A49" s="190"/>
      <c r="B49" s="211"/>
      <c r="C49" s="64">
        <v>3132</v>
      </c>
      <c r="D49" s="65">
        <v>414</v>
      </c>
      <c r="E49" s="185" t="s">
        <v>136</v>
      </c>
      <c r="F49" s="53">
        <f t="shared" si="0"/>
        <v>10000</v>
      </c>
      <c r="G49" s="83">
        <v>10000</v>
      </c>
      <c r="H49" s="83"/>
      <c r="I49" s="83"/>
      <c r="J49" s="56">
        <f t="shared" si="15"/>
        <v>0</v>
      </c>
      <c r="K49" s="83"/>
      <c r="L49" s="85"/>
      <c r="M49" s="83"/>
      <c r="N49" s="57">
        <f t="shared" si="16"/>
        <v>0</v>
      </c>
      <c r="O49" s="83"/>
      <c r="P49" s="85"/>
      <c r="Q49" s="83"/>
      <c r="R49" s="85"/>
      <c r="S49" s="85"/>
      <c r="T49" s="55">
        <f t="shared" si="17"/>
        <v>0</v>
      </c>
      <c r="AG49" s="6"/>
      <c r="AH49" s="6"/>
      <c r="AI49" s="6"/>
      <c r="AJ49" s="6"/>
      <c r="AK49" s="6"/>
      <c r="AL49" s="6"/>
      <c r="AM49" s="6"/>
      <c r="AN49" s="1"/>
    </row>
    <row r="50" spans="1:40" s="7" customFormat="1" ht="256.5" customHeight="1" x14ac:dyDescent="0.4">
      <c r="A50" s="190"/>
      <c r="B50" s="211"/>
      <c r="C50" s="64">
        <v>3142</v>
      </c>
      <c r="D50" s="65">
        <v>425</v>
      </c>
      <c r="E50" s="37" t="s">
        <v>137</v>
      </c>
      <c r="F50" s="53">
        <f t="shared" si="0"/>
        <v>1240443</v>
      </c>
      <c r="G50" s="83"/>
      <c r="H50" s="83"/>
      <c r="I50" s="83">
        <v>1240443</v>
      </c>
      <c r="J50" s="56">
        <f t="shared" si="15"/>
        <v>0</v>
      </c>
      <c r="K50" s="85"/>
      <c r="L50" s="85"/>
      <c r="M50" s="85"/>
      <c r="N50" s="57">
        <f t="shared" si="16"/>
        <v>0</v>
      </c>
      <c r="O50" s="85"/>
      <c r="P50" s="85"/>
      <c r="Q50" s="85"/>
      <c r="R50" s="85"/>
      <c r="S50" s="85"/>
      <c r="T50" s="55">
        <f t="shared" si="17"/>
        <v>0</v>
      </c>
      <c r="AG50" s="6"/>
      <c r="AH50" s="6"/>
      <c r="AI50" s="6"/>
      <c r="AJ50" s="6"/>
      <c r="AK50" s="6"/>
      <c r="AL50" s="6"/>
      <c r="AM50" s="6"/>
      <c r="AN50" s="1"/>
    </row>
    <row r="51" spans="1:40" s="7" customFormat="1" ht="365.25" customHeight="1" x14ac:dyDescent="0.4">
      <c r="A51" s="190"/>
      <c r="B51" s="211"/>
      <c r="C51" s="64">
        <v>3132</v>
      </c>
      <c r="D51" s="65"/>
      <c r="E51" s="37" t="s">
        <v>138</v>
      </c>
      <c r="F51" s="53">
        <f t="shared" si="0"/>
        <v>1150000</v>
      </c>
      <c r="G51" s="83"/>
      <c r="H51" s="83"/>
      <c r="I51" s="83">
        <v>1150000</v>
      </c>
      <c r="J51" s="56">
        <f t="shared" si="15"/>
        <v>0</v>
      </c>
      <c r="K51" s="83"/>
      <c r="L51" s="85"/>
      <c r="M51" s="83"/>
      <c r="N51" s="57">
        <f t="shared" si="16"/>
        <v>0</v>
      </c>
      <c r="O51" s="83"/>
      <c r="P51" s="83"/>
      <c r="Q51" s="83"/>
      <c r="R51" s="85"/>
      <c r="S51" s="85"/>
      <c r="T51" s="55">
        <f>J51-N51</f>
        <v>0</v>
      </c>
      <c r="AG51" s="6"/>
      <c r="AH51" s="6"/>
      <c r="AI51" s="6"/>
      <c r="AJ51" s="6"/>
      <c r="AK51" s="6"/>
      <c r="AL51" s="6"/>
      <c r="AM51" s="6"/>
      <c r="AN51" s="1"/>
    </row>
    <row r="52" spans="1:40" s="7" customFormat="1" ht="242.25" customHeight="1" x14ac:dyDescent="0.4">
      <c r="A52" s="190"/>
      <c r="B52" s="211"/>
      <c r="C52" s="64">
        <v>3142</v>
      </c>
      <c r="D52" s="65">
        <v>420</v>
      </c>
      <c r="E52" s="87" t="s">
        <v>122</v>
      </c>
      <c r="F52" s="53">
        <f t="shared" si="0"/>
        <v>7169852</v>
      </c>
      <c r="G52" s="83">
        <v>7169852</v>
      </c>
      <c r="H52" s="83"/>
      <c r="I52" s="83"/>
      <c r="J52" s="56">
        <f t="shared" si="15"/>
        <v>0</v>
      </c>
      <c r="K52" s="83"/>
      <c r="L52" s="83"/>
      <c r="M52" s="83"/>
      <c r="N52" s="57">
        <f t="shared" si="16"/>
        <v>0</v>
      </c>
      <c r="O52" s="85"/>
      <c r="P52" s="85"/>
      <c r="Q52" s="83"/>
      <c r="R52" s="85"/>
      <c r="S52" s="85"/>
      <c r="T52" s="55">
        <f t="shared" si="17"/>
        <v>0</v>
      </c>
      <c r="AG52" s="6"/>
      <c r="AH52" s="6"/>
      <c r="AI52" s="6"/>
      <c r="AJ52" s="6"/>
      <c r="AK52" s="6"/>
      <c r="AL52" s="6"/>
      <c r="AM52" s="6"/>
      <c r="AN52" s="1"/>
    </row>
    <row r="53" spans="1:40" s="7" customFormat="1" ht="46.5" customHeight="1" x14ac:dyDescent="0.4">
      <c r="A53" s="190"/>
      <c r="B53" s="211"/>
      <c r="C53" s="64"/>
      <c r="D53" s="65">
        <v>424</v>
      </c>
      <c r="E53" s="37"/>
      <c r="F53" s="53">
        <f t="shared" si="0"/>
        <v>0</v>
      </c>
      <c r="G53" s="83"/>
      <c r="H53" s="83"/>
      <c r="I53" s="83"/>
      <c r="J53" s="184">
        <f t="shared" si="15"/>
        <v>0</v>
      </c>
      <c r="K53" s="85"/>
      <c r="L53" s="85"/>
      <c r="M53" s="83"/>
      <c r="N53" s="57">
        <f t="shared" si="16"/>
        <v>0</v>
      </c>
      <c r="O53" s="85"/>
      <c r="P53" s="85"/>
      <c r="Q53" s="83"/>
      <c r="R53" s="85"/>
      <c r="S53" s="85"/>
      <c r="T53" s="55">
        <f t="shared" si="17"/>
        <v>0</v>
      </c>
      <c r="AG53" s="6"/>
      <c r="AH53" s="6"/>
      <c r="AI53" s="6"/>
      <c r="AJ53" s="6"/>
      <c r="AK53" s="6"/>
      <c r="AL53" s="6"/>
      <c r="AM53" s="6"/>
      <c r="AN53" s="1"/>
    </row>
    <row r="54" spans="1:40" s="7" customFormat="1" ht="99" customHeight="1" x14ac:dyDescent="0.4">
      <c r="A54" s="190"/>
      <c r="B54" s="211"/>
      <c r="C54" s="64"/>
      <c r="D54" s="65">
        <v>418</v>
      </c>
      <c r="E54" s="37"/>
      <c r="F54" s="53">
        <f t="shared" si="0"/>
        <v>0</v>
      </c>
      <c r="G54" s="83"/>
      <c r="H54" s="83"/>
      <c r="I54" s="83"/>
      <c r="J54" s="56">
        <f t="shared" si="15"/>
        <v>0</v>
      </c>
      <c r="K54" s="85"/>
      <c r="L54" s="85"/>
      <c r="M54" s="83"/>
      <c r="N54" s="57">
        <f t="shared" si="16"/>
        <v>0</v>
      </c>
      <c r="O54" s="85"/>
      <c r="P54" s="85"/>
      <c r="Q54" s="85"/>
      <c r="R54" s="85"/>
      <c r="S54" s="85"/>
      <c r="T54" s="55">
        <f t="shared" si="17"/>
        <v>0</v>
      </c>
      <c r="AG54" s="6"/>
      <c r="AH54" s="6"/>
      <c r="AI54" s="6"/>
      <c r="AJ54" s="6"/>
      <c r="AK54" s="6"/>
      <c r="AL54" s="6"/>
      <c r="AM54" s="6"/>
      <c r="AN54" s="1"/>
    </row>
    <row r="55" spans="1:40" s="7" customFormat="1" ht="6" customHeight="1" x14ac:dyDescent="0.4">
      <c r="A55" s="190"/>
      <c r="B55" s="212"/>
      <c r="C55" s="64"/>
      <c r="D55" s="65"/>
      <c r="E55" s="37"/>
      <c r="F55" s="53">
        <f t="shared" si="0"/>
        <v>0</v>
      </c>
      <c r="G55" s="83"/>
      <c r="H55" s="83"/>
      <c r="I55" s="83"/>
      <c r="J55" s="84">
        <f t="shared" si="15"/>
        <v>0</v>
      </c>
      <c r="K55" s="85"/>
      <c r="L55" s="85"/>
      <c r="M55" s="85"/>
      <c r="N55" s="86">
        <f t="shared" si="16"/>
        <v>0</v>
      </c>
      <c r="O55" s="85"/>
      <c r="P55" s="85"/>
      <c r="Q55" s="85"/>
      <c r="R55" s="85"/>
      <c r="S55" s="85"/>
      <c r="T55" s="55">
        <f t="shared" si="17"/>
        <v>0</v>
      </c>
      <c r="AG55" s="6"/>
      <c r="AH55" s="6"/>
      <c r="AI55" s="6"/>
      <c r="AJ55" s="6"/>
      <c r="AK55" s="6"/>
      <c r="AL55" s="6"/>
      <c r="AM55" s="6"/>
      <c r="AN55" s="1"/>
    </row>
    <row r="56" spans="1:40" s="7" customFormat="1" ht="155.25" customHeight="1" x14ac:dyDescent="0.4">
      <c r="A56" s="190"/>
      <c r="B56" s="213" t="s">
        <v>42</v>
      </c>
      <c r="C56" s="214"/>
      <c r="D56" s="214"/>
      <c r="E56" s="215"/>
      <c r="F56" s="94">
        <f t="shared" si="0"/>
        <v>14240443</v>
      </c>
      <c r="G56" s="60">
        <f t="shared" ref="G56:T56" si="18">SUM(G46:G55)</f>
        <v>8850000</v>
      </c>
      <c r="H56" s="60">
        <f t="shared" si="18"/>
        <v>0</v>
      </c>
      <c r="I56" s="60">
        <f t="shared" si="18"/>
        <v>5390443</v>
      </c>
      <c r="J56" s="60">
        <f t="shared" si="18"/>
        <v>0</v>
      </c>
      <c r="K56" s="60">
        <f t="shared" si="18"/>
        <v>0</v>
      </c>
      <c r="L56" s="60">
        <f t="shared" si="18"/>
        <v>0</v>
      </c>
      <c r="M56" s="60">
        <f t="shared" si="18"/>
        <v>0</v>
      </c>
      <c r="N56" s="60">
        <f t="shared" si="18"/>
        <v>0</v>
      </c>
      <c r="O56" s="60">
        <f t="shared" si="18"/>
        <v>0</v>
      </c>
      <c r="P56" s="60">
        <f t="shared" si="18"/>
        <v>0</v>
      </c>
      <c r="Q56" s="60">
        <f t="shared" si="18"/>
        <v>0</v>
      </c>
      <c r="R56" s="60">
        <f t="shared" si="18"/>
        <v>0</v>
      </c>
      <c r="S56" s="60">
        <f t="shared" si="18"/>
        <v>0</v>
      </c>
      <c r="T56" s="60">
        <f t="shared" si="18"/>
        <v>0</v>
      </c>
      <c r="AG56" s="6"/>
      <c r="AH56" s="6"/>
      <c r="AI56" s="6"/>
      <c r="AJ56" s="6"/>
      <c r="AK56" s="6"/>
      <c r="AL56" s="6"/>
      <c r="AM56" s="6"/>
      <c r="AN56" s="1"/>
    </row>
    <row r="57" spans="1:40" s="19" customFormat="1" ht="90" customHeight="1" x14ac:dyDescent="0.4">
      <c r="A57" s="190"/>
      <c r="B57" s="216">
        <v>1517363</v>
      </c>
      <c r="C57" s="162"/>
      <c r="D57" s="162"/>
      <c r="E57" s="154"/>
      <c r="F57" s="53">
        <f t="shared" si="0"/>
        <v>0</v>
      </c>
      <c r="G57" s="83"/>
      <c r="H57" s="83"/>
      <c r="I57" s="83"/>
      <c r="J57" s="56">
        <f>SUM(K57+L57+M57)</f>
        <v>0</v>
      </c>
      <c r="K57" s="72"/>
      <c r="L57" s="55"/>
      <c r="M57" s="55"/>
      <c r="N57" s="57">
        <f>SUM(O57+P57)</f>
        <v>0</v>
      </c>
      <c r="O57" s="55"/>
      <c r="P57" s="55"/>
      <c r="Q57" s="55"/>
      <c r="R57" s="88"/>
      <c r="S57" s="88"/>
      <c r="T57" s="55">
        <f>J57-N57</f>
        <v>0</v>
      </c>
      <c r="AG57" s="20"/>
      <c r="AH57" s="20"/>
      <c r="AI57" s="20"/>
      <c r="AJ57" s="20"/>
      <c r="AK57" s="20"/>
      <c r="AL57" s="20"/>
      <c r="AM57" s="20"/>
      <c r="AN57" s="21"/>
    </row>
    <row r="58" spans="1:40" s="19" customFormat="1" ht="47.25" customHeight="1" x14ac:dyDescent="0.4">
      <c r="A58" s="190"/>
      <c r="B58" s="217"/>
      <c r="C58" s="162"/>
      <c r="D58" s="143"/>
      <c r="E58" s="37"/>
      <c r="F58" s="53">
        <f t="shared" si="0"/>
        <v>0</v>
      </c>
      <c r="G58" s="83"/>
      <c r="H58" s="83"/>
      <c r="I58" s="83"/>
      <c r="J58" s="56">
        <f>SUM(K58+L58+M58)</f>
        <v>0</v>
      </c>
      <c r="K58" s="72"/>
      <c r="L58" s="55"/>
      <c r="M58" s="55"/>
      <c r="N58" s="57">
        <f>SUM(O58+P58)</f>
        <v>0</v>
      </c>
      <c r="O58" s="55"/>
      <c r="P58" s="55"/>
      <c r="Q58" s="55"/>
      <c r="R58" s="88"/>
      <c r="S58" s="88"/>
      <c r="T58" s="55">
        <f>J58-N58</f>
        <v>0</v>
      </c>
      <c r="AG58" s="20"/>
      <c r="AH58" s="20"/>
      <c r="AI58" s="20"/>
      <c r="AJ58" s="20"/>
      <c r="AK58" s="20"/>
      <c r="AL58" s="20"/>
      <c r="AM58" s="20"/>
      <c r="AN58" s="21"/>
    </row>
    <row r="59" spans="1:40" s="19" customFormat="1" ht="138" customHeight="1" x14ac:dyDescent="0.4">
      <c r="A59" s="190"/>
      <c r="B59" s="213" t="s">
        <v>43</v>
      </c>
      <c r="C59" s="214"/>
      <c r="D59" s="214"/>
      <c r="E59" s="215"/>
      <c r="F59" s="94">
        <f t="shared" si="0"/>
        <v>0</v>
      </c>
      <c r="G59" s="60">
        <f t="shared" ref="G59:T59" si="19">SUM(G57:G58)</f>
        <v>0</v>
      </c>
      <c r="H59" s="60">
        <f t="shared" si="19"/>
        <v>0</v>
      </c>
      <c r="I59" s="60">
        <f t="shared" si="19"/>
        <v>0</v>
      </c>
      <c r="J59" s="60">
        <f t="shared" si="19"/>
        <v>0</v>
      </c>
      <c r="K59" s="60">
        <f t="shared" si="19"/>
        <v>0</v>
      </c>
      <c r="L59" s="60">
        <f t="shared" si="19"/>
        <v>0</v>
      </c>
      <c r="M59" s="60">
        <f t="shared" si="19"/>
        <v>0</v>
      </c>
      <c r="N59" s="60">
        <f t="shared" si="19"/>
        <v>0</v>
      </c>
      <c r="O59" s="60">
        <f t="shared" si="19"/>
        <v>0</v>
      </c>
      <c r="P59" s="60">
        <f t="shared" si="19"/>
        <v>0</v>
      </c>
      <c r="Q59" s="60">
        <f t="shared" si="19"/>
        <v>0</v>
      </c>
      <c r="R59" s="60">
        <f t="shared" si="19"/>
        <v>0</v>
      </c>
      <c r="S59" s="60">
        <f t="shared" si="19"/>
        <v>0</v>
      </c>
      <c r="T59" s="60">
        <f t="shared" si="19"/>
        <v>0</v>
      </c>
      <c r="AG59" s="20"/>
      <c r="AH59" s="20"/>
      <c r="AI59" s="20"/>
      <c r="AJ59" s="20"/>
      <c r="AK59" s="20"/>
      <c r="AL59" s="20"/>
      <c r="AM59" s="20"/>
      <c r="AN59" s="21"/>
    </row>
    <row r="60" spans="1:40" s="7" customFormat="1" ht="87.75" customHeight="1" x14ac:dyDescent="0.4">
      <c r="A60" s="190"/>
      <c r="B60" s="163">
        <v>1517367</v>
      </c>
      <c r="C60" s="90">
        <v>3122</v>
      </c>
      <c r="D60" s="91"/>
      <c r="E60" s="37"/>
      <c r="F60" s="53">
        <f t="shared" si="0"/>
        <v>0</v>
      </c>
      <c r="G60" s="83"/>
      <c r="H60" s="83"/>
      <c r="I60" s="83"/>
      <c r="J60" s="56">
        <f>SUM(K60+L60+M60)</f>
        <v>0</v>
      </c>
      <c r="K60" s="92"/>
      <c r="L60" s="92"/>
      <c r="M60" s="92"/>
      <c r="N60" s="57">
        <f>SUM(O60+P60+Q60)</f>
        <v>0</v>
      </c>
      <c r="O60" s="92"/>
      <c r="P60" s="92"/>
      <c r="Q60" s="92"/>
      <c r="R60" s="173"/>
      <c r="S60" s="173"/>
      <c r="T60" s="55">
        <f>J60-N60</f>
        <v>0</v>
      </c>
      <c r="AG60" s="6"/>
      <c r="AH60" s="6"/>
      <c r="AI60" s="6"/>
      <c r="AJ60" s="6"/>
      <c r="AK60" s="6"/>
      <c r="AL60" s="6"/>
      <c r="AM60" s="6"/>
      <c r="AN60" s="1"/>
    </row>
    <row r="61" spans="1:40" s="7" customFormat="1" ht="48.75" customHeight="1" x14ac:dyDescent="0.4">
      <c r="A61" s="190"/>
      <c r="B61" s="218" t="s">
        <v>44</v>
      </c>
      <c r="C61" s="219"/>
      <c r="D61" s="219"/>
      <c r="E61" s="220"/>
      <c r="F61" s="94">
        <f t="shared" si="0"/>
        <v>0</v>
      </c>
      <c r="G61" s="94">
        <f t="shared" ref="G61:T61" si="20">SUM(G60:G60)</f>
        <v>0</v>
      </c>
      <c r="H61" s="94">
        <f t="shared" si="20"/>
        <v>0</v>
      </c>
      <c r="I61" s="94">
        <f t="shared" si="20"/>
        <v>0</v>
      </c>
      <c r="J61" s="94">
        <f t="shared" si="20"/>
        <v>0</v>
      </c>
      <c r="K61" s="94">
        <f t="shared" si="20"/>
        <v>0</v>
      </c>
      <c r="L61" s="94">
        <f t="shared" si="20"/>
        <v>0</v>
      </c>
      <c r="M61" s="94">
        <f t="shared" si="20"/>
        <v>0</v>
      </c>
      <c r="N61" s="94">
        <f t="shared" si="20"/>
        <v>0</v>
      </c>
      <c r="O61" s="94">
        <f t="shared" si="20"/>
        <v>0</v>
      </c>
      <c r="P61" s="94">
        <f>SUM(P60:P60)</f>
        <v>0</v>
      </c>
      <c r="Q61" s="94">
        <f t="shared" si="20"/>
        <v>0</v>
      </c>
      <c r="R61" s="94">
        <f t="shared" si="20"/>
        <v>0</v>
      </c>
      <c r="S61" s="94">
        <f t="shared" si="20"/>
        <v>0</v>
      </c>
      <c r="T61" s="94">
        <f t="shared" si="20"/>
        <v>0</v>
      </c>
      <c r="AG61" s="6"/>
      <c r="AH61" s="6"/>
      <c r="AI61" s="6"/>
      <c r="AJ61" s="6"/>
      <c r="AK61" s="6"/>
      <c r="AL61" s="6"/>
      <c r="AM61" s="6"/>
      <c r="AN61" s="1"/>
    </row>
    <row r="62" spans="1:40" s="7" customFormat="1" ht="408" customHeight="1" x14ac:dyDescent="0.4">
      <c r="A62" s="190"/>
      <c r="B62" s="192">
        <v>1517368</v>
      </c>
      <c r="C62" s="50">
        <v>3122</v>
      </c>
      <c r="D62" s="51"/>
      <c r="E62" s="52" t="s">
        <v>139</v>
      </c>
      <c r="F62" s="53">
        <f>G62+H62+I62</f>
        <v>1285000</v>
      </c>
      <c r="G62" s="55"/>
      <c r="H62" s="55"/>
      <c r="I62" s="55">
        <v>1285000</v>
      </c>
      <c r="J62" s="56">
        <f t="shared" ref="J62:J65" si="21">SUM(K62:M62)</f>
        <v>0</v>
      </c>
      <c r="K62" s="55"/>
      <c r="L62" s="55"/>
      <c r="M62" s="55"/>
      <c r="N62" s="57">
        <f t="shared" ref="N62:N65" si="22">SUM(O62:Q62)</f>
        <v>0</v>
      </c>
      <c r="O62" s="55"/>
      <c r="P62" s="55"/>
      <c r="Q62" s="58"/>
      <c r="R62" s="55"/>
      <c r="S62" s="55"/>
      <c r="T62" s="55">
        <f t="shared" ref="T62:T65" si="23">J62-N62</f>
        <v>0</v>
      </c>
      <c r="AG62" s="6"/>
      <c r="AH62" s="6"/>
      <c r="AI62" s="6"/>
      <c r="AJ62" s="6"/>
      <c r="AK62" s="6"/>
      <c r="AL62" s="6"/>
      <c r="AM62" s="6"/>
      <c r="AN62" s="1"/>
    </row>
    <row r="63" spans="1:40" s="7" customFormat="1" ht="278.25" customHeight="1" x14ac:dyDescent="0.4">
      <c r="A63" s="190"/>
      <c r="B63" s="190"/>
      <c r="C63" s="50">
        <v>3132</v>
      </c>
      <c r="D63" s="51"/>
      <c r="E63" s="52" t="s">
        <v>140</v>
      </c>
      <c r="F63" s="53">
        <f t="shared" ref="F63:F66" si="24">G63+H63+I63</f>
        <v>3000000</v>
      </c>
      <c r="G63" s="55"/>
      <c r="H63" s="55"/>
      <c r="I63" s="55">
        <v>3000000</v>
      </c>
      <c r="J63" s="56">
        <f t="shared" si="21"/>
        <v>0</v>
      </c>
      <c r="K63" s="55"/>
      <c r="L63" s="55"/>
      <c r="M63" s="55"/>
      <c r="N63" s="57">
        <f t="shared" si="22"/>
        <v>0</v>
      </c>
      <c r="O63" s="55"/>
      <c r="P63" s="55"/>
      <c r="Q63" s="58"/>
      <c r="R63" s="55"/>
      <c r="S63" s="55"/>
      <c r="T63" s="55">
        <f t="shared" si="23"/>
        <v>0</v>
      </c>
      <c r="AG63" s="6"/>
      <c r="AH63" s="6"/>
      <c r="AI63" s="6"/>
      <c r="AJ63" s="6"/>
      <c r="AK63" s="6"/>
      <c r="AL63" s="6"/>
      <c r="AM63" s="6"/>
      <c r="AN63" s="1"/>
    </row>
    <row r="64" spans="1:40" s="7" customFormat="1" ht="199.5" customHeight="1" x14ac:dyDescent="0.4">
      <c r="A64" s="190"/>
      <c r="B64" s="190"/>
      <c r="C64" s="50">
        <v>3142</v>
      </c>
      <c r="D64" s="51"/>
      <c r="E64" s="52" t="s">
        <v>141</v>
      </c>
      <c r="F64" s="53">
        <f t="shared" si="24"/>
        <v>1214800</v>
      </c>
      <c r="G64" s="55"/>
      <c r="H64" s="55"/>
      <c r="I64" s="55">
        <v>1214800</v>
      </c>
      <c r="J64" s="56">
        <f t="shared" si="21"/>
        <v>0</v>
      </c>
      <c r="K64" s="55"/>
      <c r="L64" s="55"/>
      <c r="M64" s="55"/>
      <c r="N64" s="57">
        <f t="shared" si="22"/>
        <v>0</v>
      </c>
      <c r="O64" s="55"/>
      <c r="P64" s="55"/>
      <c r="Q64" s="58"/>
      <c r="R64" s="55"/>
      <c r="S64" s="55"/>
      <c r="T64" s="55">
        <f t="shared" si="23"/>
        <v>0</v>
      </c>
      <c r="AG64" s="6"/>
      <c r="AH64" s="6"/>
      <c r="AI64" s="6"/>
      <c r="AJ64" s="6"/>
      <c r="AK64" s="6"/>
      <c r="AL64" s="6"/>
      <c r="AM64" s="6"/>
      <c r="AN64" s="1"/>
    </row>
    <row r="65" spans="1:40" s="7" customFormat="1" ht="306" customHeight="1" x14ac:dyDescent="0.4">
      <c r="A65" s="190"/>
      <c r="B65" s="191"/>
      <c r="C65" s="50">
        <v>3142</v>
      </c>
      <c r="D65" s="51"/>
      <c r="E65" s="39" t="s">
        <v>142</v>
      </c>
      <c r="F65" s="53">
        <f t="shared" si="24"/>
        <v>1000000</v>
      </c>
      <c r="G65" s="55"/>
      <c r="H65" s="55"/>
      <c r="I65" s="55">
        <v>1000000</v>
      </c>
      <c r="J65" s="56">
        <f t="shared" si="21"/>
        <v>0</v>
      </c>
      <c r="K65" s="55"/>
      <c r="L65" s="55"/>
      <c r="M65" s="55"/>
      <c r="N65" s="57">
        <f t="shared" si="22"/>
        <v>0</v>
      </c>
      <c r="O65" s="55"/>
      <c r="P65" s="55"/>
      <c r="Q65" s="58"/>
      <c r="R65" s="55"/>
      <c r="S65" s="55"/>
      <c r="T65" s="55">
        <f t="shared" si="23"/>
        <v>0</v>
      </c>
      <c r="AG65" s="6"/>
      <c r="AH65" s="6"/>
      <c r="AI65" s="6"/>
      <c r="AJ65" s="6"/>
      <c r="AK65" s="6"/>
      <c r="AL65" s="6"/>
      <c r="AM65" s="6"/>
      <c r="AN65" s="1"/>
    </row>
    <row r="66" spans="1:40" s="7" customFormat="1" ht="213" customHeight="1" x14ac:dyDescent="0.4">
      <c r="A66" s="190"/>
      <c r="B66" s="161"/>
      <c r="C66" s="50">
        <v>3143</v>
      </c>
      <c r="D66" s="51"/>
      <c r="E66" s="39" t="s">
        <v>37</v>
      </c>
      <c r="F66" s="53">
        <f t="shared" si="24"/>
        <v>1400000</v>
      </c>
      <c r="G66" s="55"/>
      <c r="H66" s="55"/>
      <c r="I66" s="55">
        <v>1400000</v>
      </c>
      <c r="J66" s="56"/>
      <c r="K66" s="55"/>
      <c r="L66" s="55"/>
      <c r="M66" s="55"/>
      <c r="N66" s="57"/>
      <c r="O66" s="55"/>
      <c r="P66" s="55"/>
      <c r="Q66" s="58"/>
      <c r="R66" s="55"/>
      <c r="S66" s="55"/>
      <c r="T66" s="55"/>
      <c r="AG66" s="6"/>
      <c r="AH66" s="6"/>
      <c r="AI66" s="6"/>
      <c r="AJ66" s="6"/>
      <c r="AK66" s="6"/>
      <c r="AL66" s="6"/>
      <c r="AM66" s="6"/>
      <c r="AN66" s="1"/>
    </row>
    <row r="67" spans="1:40" s="7" customFormat="1" ht="60.75" customHeight="1" x14ac:dyDescent="0.4">
      <c r="A67" s="190"/>
      <c r="B67" s="253" t="s">
        <v>45</v>
      </c>
      <c r="C67" s="254"/>
      <c r="D67" s="254"/>
      <c r="E67" s="255"/>
      <c r="F67" s="94">
        <f>G67+H67+I67</f>
        <v>7899800</v>
      </c>
      <c r="G67" s="95">
        <f t="shared" ref="G67:T67" si="25">SUM(G62:G65)</f>
        <v>0</v>
      </c>
      <c r="H67" s="95">
        <f t="shared" si="25"/>
        <v>0</v>
      </c>
      <c r="I67" s="95">
        <f>SUM(I62:I66)</f>
        <v>7899800</v>
      </c>
      <c r="J67" s="95">
        <f t="shared" si="25"/>
        <v>0</v>
      </c>
      <c r="K67" s="95">
        <f t="shared" si="25"/>
        <v>0</v>
      </c>
      <c r="L67" s="95">
        <f t="shared" si="25"/>
        <v>0</v>
      </c>
      <c r="M67" s="95">
        <f t="shared" si="25"/>
        <v>0</v>
      </c>
      <c r="N67" s="95">
        <f t="shared" si="25"/>
        <v>0</v>
      </c>
      <c r="O67" s="95">
        <f t="shared" si="25"/>
        <v>0</v>
      </c>
      <c r="P67" s="95">
        <f t="shared" si="25"/>
        <v>0</v>
      </c>
      <c r="Q67" s="95">
        <f t="shared" si="25"/>
        <v>0</v>
      </c>
      <c r="R67" s="95">
        <f t="shared" si="25"/>
        <v>0</v>
      </c>
      <c r="S67" s="95">
        <f t="shared" si="25"/>
        <v>0</v>
      </c>
      <c r="T67" s="95">
        <f t="shared" si="25"/>
        <v>0</v>
      </c>
      <c r="AG67" s="6"/>
      <c r="AH67" s="6"/>
      <c r="AI67" s="6"/>
      <c r="AJ67" s="6"/>
      <c r="AK67" s="6"/>
      <c r="AL67" s="6"/>
      <c r="AM67" s="6"/>
      <c r="AN67" s="1"/>
    </row>
    <row r="68" spans="1:40" s="7" customFormat="1" ht="303.75" customHeight="1" x14ac:dyDescent="0.4">
      <c r="A68" s="190"/>
      <c r="B68" s="194">
        <v>1517369</v>
      </c>
      <c r="C68" s="40">
        <v>3142</v>
      </c>
      <c r="D68" s="96">
        <v>431</v>
      </c>
      <c r="E68" s="41" t="s">
        <v>150</v>
      </c>
      <c r="F68" s="53">
        <f t="shared" si="0"/>
        <v>860000</v>
      </c>
      <c r="G68" s="175">
        <v>860000</v>
      </c>
      <c r="H68" s="55"/>
      <c r="I68" s="55"/>
      <c r="J68" s="56">
        <f>SUM(K68:M68)</f>
        <v>0</v>
      </c>
      <c r="K68" s="98"/>
      <c r="L68" s="55"/>
      <c r="M68" s="92"/>
      <c r="N68" s="57">
        <f>SUM(O68+P68+Q68)</f>
        <v>0</v>
      </c>
      <c r="O68" s="98"/>
      <c r="P68" s="97"/>
      <c r="Q68" s="92"/>
      <c r="R68" s="99"/>
      <c r="S68" s="99"/>
      <c r="T68" s="55">
        <f t="shared" ref="T68:T74" si="26">J68-N68</f>
        <v>0</v>
      </c>
      <c r="AG68" s="6"/>
      <c r="AH68" s="6"/>
      <c r="AI68" s="6"/>
      <c r="AJ68" s="6"/>
      <c r="AK68" s="6"/>
      <c r="AL68" s="6"/>
      <c r="AM68" s="6"/>
      <c r="AN68" s="1"/>
    </row>
    <row r="69" spans="1:40" s="7" customFormat="1" ht="409.6" customHeight="1" x14ac:dyDescent="0.4">
      <c r="A69" s="190"/>
      <c r="B69" s="195"/>
      <c r="C69" s="40">
        <v>3142</v>
      </c>
      <c r="D69" s="96">
        <v>433</v>
      </c>
      <c r="E69" s="41" t="s">
        <v>151</v>
      </c>
      <c r="F69" s="53">
        <f t="shared" si="0"/>
        <v>3300000</v>
      </c>
      <c r="G69" s="97"/>
      <c r="H69" s="55"/>
      <c r="I69" s="55">
        <v>3300000</v>
      </c>
      <c r="J69" s="56">
        <f>SUM(K69+L69+M69)</f>
        <v>0</v>
      </c>
      <c r="K69" s="98"/>
      <c r="L69" s="55"/>
      <c r="M69" s="55"/>
      <c r="N69" s="57">
        <f>SUM(O69+P69+Q69)</f>
        <v>0</v>
      </c>
      <c r="O69" s="98"/>
      <c r="P69" s="55"/>
      <c r="Q69" s="92"/>
      <c r="R69" s="99"/>
      <c r="S69" s="99"/>
      <c r="T69" s="55">
        <f t="shared" si="26"/>
        <v>0</v>
      </c>
      <c r="AG69" s="6"/>
      <c r="AH69" s="6"/>
      <c r="AI69" s="6"/>
      <c r="AJ69" s="6"/>
      <c r="AK69" s="6"/>
      <c r="AL69" s="6"/>
      <c r="AM69" s="6"/>
      <c r="AN69" s="1"/>
    </row>
    <row r="70" spans="1:40" s="7" customFormat="1" ht="57" customHeight="1" x14ac:dyDescent="0.4">
      <c r="A70" s="190"/>
      <c r="B70" s="195"/>
      <c r="C70" s="34"/>
      <c r="D70" s="51">
        <v>430</v>
      </c>
      <c r="E70" s="52"/>
      <c r="F70" s="53">
        <f t="shared" si="0"/>
        <v>0</v>
      </c>
      <c r="G70" s="55"/>
      <c r="H70" s="55"/>
      <c r="I70" s="55"/>
      <c r="J70" s="56">
        <f>SUM(K70:M70)</f>
        <v>0</v>
      </c>
      <c r="K70" s="55"/>
      <c r="L70" s="55"/>
      <c r="M70" s="55"/>
      <c r="N70" s="57">
        <f>SUM(O70:Q70)</f>
        <v>0</v>
      </c>
      <c r="O70" s="55"/>
      <c r="P70" s="55"/>
      <c r="Q70" s="58"/>
      <c r="R70" s="55"/>
      <c r="S70" s="55"/>
      <c r="T70" s="55">
        <f t="shared" si="26"/>
        <v>0</v>
      </c>
      <c r="AG70" s="6"/>
      <c r="AH70" s="6"/>
      <c r="AI70" s="6"/>
      <c r="AJ70" s="6"/>
      <c r="AK70" s="6"/>
      <c r="AL70" s="6"/>
      <c r="AM70" s="6"/>
      <c r="AN70" s="1"/>
    </row>
    <row r="71" spans="1:40" s="7" customFormat="1" ht="57" customHeight="1" x14ac:dyDescent="0.4">
      <c r="A71" s="190"/>
      <c r="B71" s="195"/>
      <c r="C71" s="34"/>
      <c r="D71" s="51">
        <v>432</v>
      </c>
      <c r="E71" s="41"/>
      <c r="F71" s="53">
        <f t="shared" si="0"/>
        <v>0</v>
      </c>
      <c r="G71" s="55"/>
      <c r="H71" s="55"/>
      <c r="I71" s="55"/>
      <c r="J71" s="56">
        <f>SUM(K71:M71)</f>
        <v>0</v>
      </c>
      <c r="K71" s="98"/>
      <c r="L71" s="55"/>
      <c r="M71" s="92"/>
      <c r="N71" s="57">
        <f>SUM(O71+P71+Q71)</f>
        <v>0</v>
      </c>
      <c r="O71" s="98"/>
      <c r="P71" s="55"/>
      <c r="Q71" s="92"/>
      <c r="R71" s="99"/>
      <c r="S71" s="99"/>
      <c r="T71" s="55">
        <f t="shared" si="26"/>
        <v>0</v>
      </c>
      <c r="AG71" s="6"/>
      <c r="AH71" s="6"/>
      <c r="AI71" s="6"/>
      <c r="AJ71" s="6"/>
      <c r="AK71" s="6"/>
      <c r="AL71" s="6"/>
      <c r="AM71" s="6"/>
      <c r="AN71" s="1"/>
    </row>
    <row r="72" spans="1:40" s="7" customFormat="1" ht="45" customHeight="1" x14ac:dyDescent="0.4">
      <c r="A72" s="190"/>
      <c r="B72" s="195"/>
      <c r="C72" s="34"/>
      <c r="D72" s="51">
        <v>435</v>
      </c>
      <c r="E72" s="52"/>
      <c r="F72" s="53">
        <f t="shared" si="0"/>
        <v>0</v>
      </c>
      <c r="G72" s="55"/>
      <c r="H72" s="55"/>
      <c r="I72" s="55"/>
      <c r="J72" s="56">
        <f>SUM(K72:M72)</f>
        <v>0</v>
      </c>
      <c r="K72" s="55"/>
      <c r="L72" s="55"/>
      <c r="M72" s="55"/>
      <c r="N72" s="57">
        <f>SUM(O72:Q72)</f>
        <v>0</v>
      </c>
      <c r="O72" s="55"/>
      <c r="P72" s="55"/>
      <c r="Q72" s="58"/>
      <c r="R72" s="55"/>
      <c r="S72" s="55"/>
      <c r="T72" s="55">
        <f t="shared" si="26"/>
        <v>0</v>
      </c>
      <c r="AG72" s="6"/>
      <c r="AH72" s="6"/>
      <c r="AI72" s="6"/>
      <c r="AJ72" s="6"/>
      <c r="AK72" s="6"/>
      <c r="AL72" s="6"/>
      <c r="AM72" s="6"/>
      <c r="AN72" s="1"/>
    </row>
    <row r="73" spans="1:40" s="7" customFormat="1" ht="57" customHeight="1" x14ac:dyDescent="0.4">
      <c r="A73" s="190"/>
      <c r="B73" s="196"/>
      <c r="C73" s="34"/>
      <c r="D73" s="51">
        <v>434</v>
      </c>
      <c r="E73" s="52"/>
      <c r="F73" s="53">
        <f t="shared" si="0"/>
        <v>0</v>
      </c>
      <c r="G73" s="55"/>
      <c r="H73" s="55"/>
      <c r="I73" s="55"/>
      <c r="J73" s="56">
        <f>SUM(K73:M73)</f>
        <v>0</v>
      </c>
      <c r="K73" s="55"/>
      <c r="L73" s="55"/>
      <c r="M73" s="55"/>
      <c r="N73" s="57">
        <f>SUM(O73:Q73)</f>
        <v>0</v>
      </c>
      <c r="O73" s="55"/>
      <c r="P73" s="55"/>
      <c r="Q73" s="58"/>
      <c r="R73" s="55"/>
      <c r="S73" s="55"/>
      <c r="T73" s="55">
        <f t="shared" si="26"/>
        <v>0</v>
      </c>
      <c r="AG73" s="6"/>
      <c r="AH73" s="6"/>
      <c r="AI73" s="6"/>
      <c r="AJ73" s="6"/>
      <c r="AK73" s="6"/>
      <c r="AL73" s="6"/>
      <c r="AM73" s="6"/>
      <c r="AN73" s="1"/>
    </row>
    <row r="74" spans="1:40" s="7" customFormat="1" ht="59.25" customHeight="1" x14ac:dyDescent="0.4">
      <c r="A74" s="190"/>
      <c r="B74" s="153"/>
      <c r="C74" s="34"/>
      <c r="D74" s="51"/>
      <c r="E74" s="101"/>
      <c r="F74" s="53">
        <f t="shared" si="0"/>
        <v>0</v>
      </c>
      <c r="G74" s="55"/>
      <c r="H74" s="55"/>
      <c r="I74" s="55"/>
      <c r="J74" s="56">
        <f>SUM(K74:M74)</f>
        <v>0</v>
      </c>
      <c r="K74" s="55"/>
      <c r="L74" s="55"/>
      <c r="M74" s="55"/>
      <c r="N74" s="57">
        <f>SUM(O74:Q74)</f>
        <v>0</v>
      </c>
      <c r="O74" s="55"/>
      <c r="P74" s="55"/>
      <c r="Q74" s="58"/>
      <c r="R74" s="55"/>
      <c r="S74" s="55"/>
      <c r="T74" s="55">
        <f t="shared" si="26"/>
        <v>0</v>
      </c>
      <c r="AG74" s="6"/>
      <c r="AH74" s="6"/>
      <c r="AI74" s="6"/>
      <c r="AJ74" s="6"/>
      <c r="AK74" s="6"/>
      <c r="AL74" s="6"/>
      <c r="AM74" s="6"/>
      <c r="AN74" s="1"/>
    </row>
    <row r="75" spans="1:40" s="7" customFormat="1" ht="57" customHeight="1" x14ac:dyDescent="0.4">
      <c r="A75" s="191"/>
      <c r="B75" s="165" t="s">
        <v>46</v>
      </c>
      <c r="C75" s="165"/>
      <c r="D75" s="166"/>
      <c r="E75" s="155"/>
      <c r="F75" s="94">
        <f t="shared" si="0"/>
        <v>4160000</v>
      </c>
      <c r="G75" s="95">
        <f t="shared" ref="G75:T75" si="27">SUM(G68:G74)</f>
        <v>860000</v>
      </c>
      <c r="H75" s="95">
        <f t="shared" si="27"/>
        <v>0</v>
      </c>
      <c r="I75" s="95">
        <f>SUM(I68:I74)</f>
        <v>3300000</v>
      </c>
      <c r="J75" s="95">
        <f t="shared" si="27"/>
        <v>0</v>
      </c>
      <c r="K75" s="95">
        <f t="shared" si="27"/>
        <v>0</v>
      </c>
      <c r="L75" s="95">
        <f t="shared" si="27"/>
        <v>0</v>
      </c>
      <c r="M75" s="95">
        <f t="shared" si="27"/>
        <v>0</v>
      </c>
      <c r="N75" s="95">
        <f t="shared" si="27"/>
        <v>0</v>
      </c>
      <c r="O75" s="95">
        <f t="shared" si="27"/>
        <v>0</v>
      </c>
      <c r="P75" s="95">
        <f t="shared" si="27"/>
        <v>0</v>
      </c>
      <c r="Q75" s="95">
        <f t="shared" si="27"/>
        <v>0</v>
      </c>
      <c r="R75" s="95">
        <f t="shared" si="27"/>
        <v>0</v>
      </c>
      <c r="S75" s="95">
        <f t="shared" si="27"/>
        <v>0</v>
      </c>
      <c r="T75" s="95">
        <f t="shared" si="27"/>
        <v>0</v>
      </c>
      <c r="AG75" s="6"/>
      <c r="AH75" s="6"/>
      <c r="AI75" s="6"/>
      <c r="AJ75" s="6"/>
      <c r="AK75" s="6"/>
      <c r="AL75" s="6"/>
      <c r="AM75" s="6"/>
      <c r="AN75" s="1"/>
    </row>
    <row r="76" spans="1:40" s="7" customFormat="1" ht="111" customHeight="1" x14ac:dyDescent="0.4">
      <c r="A76" s="262" t="s">
        <v>47</v>
      </c>
      <c r="B76" s="262"/>
      <c r="C76" s="262"/>
      <c r="D76" s="262"/>
      <c r="E76" s="262"/>
      <c r="F76" s="176">
        <f t="shared" si="0"/>
        <v>26300243</v>
      </c>
      <c r="G76" s="59">
        <f t="shared" ref="G76:T76" si="28">G75+G67+G61+G59+G56</f>
        <v>9710000</v>
      </c>
      <c r="H76" s="59">
        <f t="shared" si="28"/>
        <v>0</v>
      </c>
      <c r="I76" s="59">
        <f t="shared" si="28"/>
        <v>16590243</v>
      </c>
      <c r="J76" s="59">
        <f t="shared" si="28"/>
        <v>0</v>
      </c>
      <c r="K76" s="59">
        <f t="shared" si="28"/>
        <v>0</v>
      </c>
      <c r="L76" s="59">
        <f t="shared" si="28"/>
        <v>0</v>
      </c>
      <c r="M76" s="59">
        <f t="shared" si="28"/>
        <v>0</v>
      </c>
      <c r="N76" s="59">
        <f t="shared" si="28"/>
        <v>0</v>
      </c>
      <c r="O76" s="59">
        <f t="shared" si="28"/>
        <v>0</v>
      </c>
      <c r="P76" s="59">
        <f t="shared" si="28"/>
        <v>0</v>
      </c>
      <c r="Q76" s="59">
        <f t="shared" si="28"/>
        <v>0</v>
      </c>
      <c r="R76" s="59">
        <f t="shared" si="28"/>
        <v>0</v>
      </c>
      <c r="S76" s="59">
        <f t="shared" si="28"/>
        <v>0</v>
      </c>
      <c r="T76" s="59">
        <f t="shared" si="28"/>
        <v>0</v>
      </c>
      <c r="AG76" s="6"/>
      <c r="AH76" s="6"/>
      <c r="AI76" s="6"/>
      <c r="AJ76" s="6"/>
      <c r="AK76" s="6"/>
      <c r="AL76" s="6"/>
      <c r="AM76" s="6"/>
      <c r="AN76" s="1"/>
    </row>
    <row r="77" spans="1:40" s="19" customFormat="1" ht="366" customHeight="1" x14ac:dyDescent="0.4">
      <c r="A77" s="194">
        <v>1517370</v>
      </c>
      <c r="B77" s="167"/>
      <c r="C77" s="142">
        <v>3132</v>
      </c>
      <c r="D77" s="103"/>
      <c r="E77" s="186" t="s">
        <v>145</v>
      </c>
      <c r="F77" s="53">
        <f t="shared" si="0"/>
        <v>10000</v>
      </c>
      <c r="G77" s="72">
        <v>10000</v>
      </c>
      <c r="H77" s="72"/>
      <c r="I77" s="104"/>
      <c r="J77" s="56">
        <f>SUM(K77+L77+M77)</f>
        <v>0</v>
      </c>
      <c r="K77" s="72"/>
      <c r="L77" s="104"/>
      <c r="M77" s="104"/>
      <c r="N77" s="57">
        <f>SUM(O77+P77+Q77)</f>
        <v>0</v>
      </c>
      <c r="O77" s="72"/>
      <c r="P77" s="104"/>
      <c r="Q77" s="104"/>
      <c r="R77" s="104"/>
      <c r="S77" s="104"/>
      <c r="T77" s="72">
        <f>SUM(J77-N77)</f>
        <v>0</v>
      </c>
      <c r="AG77" s="20"/>
      <c r="AH77" s="20"/>
      <c r="AI77" s="20"/>
      <c r="AJ77" s="20"/>
      <c r="AK77" s="20"/>
      <c r="AL77" s="20"/>
      <c r="AM77" s="20"/>
      <c r="AN77" s="21"/>
    </row>
    <row r="78" spans="1:40" s="19" customFormat="1" ht="170.25" customHeight="1" x14ac:dyDescent="0.4">
      <c r="A78" s="195"/>
      <c r="B78" s="167"/>
      <c r="C78" s="142">
        <v>3132</v>
      </c>
      <c r="D78" s="103"/>
      <c r="E78" s="41" t="s">
        <v>146</v>
      </c>
      <c r="F78" s="53">
        <f t="shared" si="0"/>
        <v>10000</v>
      </c>
      <c r="G78" s="72">
        <v>10000</v>
      </c>
      <c r="H78" s="72"/>
      <c r="I78" s="104"/>
      <c r="J78" s="56">
        <f>SUM(K78+L78+M78)</f>
        <v>0</v>
      </c>
      <c r="K78" s="72"/>
      <c r="L78" s="104"/>
      <c r="M78" s="104"/>
      <c r="N78" s="57">
        <f>SUM(O78+P78+Q78)</f>
        <v>0</v>
      </c>
      <c r="O78" s="72"/>
      <c r="P78" s="104"/>
      <c r="Q78" s="104"/>
      <c r="R78" s="104"/>
      <c r="S78" s="104"/>
      <c r="T78" s="72">
        <f>SUM(J78-N78)</f>
        <v>0</v>
      </c>
      <c r="AG78" s="20"/>
      <c r="AH78" s="20"/>
      <c r="AI78" s="20"/>
      <c r="AJ78" s="20"/>
      <c r="AK78" s="20"/>
      <c r="AL78" s="20"/>
      <c r="AM78" s="20"/>
      <c r="AN78" s="21"/>
    </row>
    <row r="79" spans="1:40" s="19" customFormat="1" ht="390.75" customHeight="1" x14ac:dyDescent="0.4">
      <c r="A79" s="195"/>
      <c r="B79" s="167"/>
      <c r="C79" s="142">
        <v>3132</v>
      </c>
      <c r="D79" s="103"/>
      <c r="E79" s="187" t="s">
        <v>144</v>
      </c>
      <c r="F79" s="53">
        <f t="shared" si="0"/>
        <v>10000</v>
      </c>
      <c r="G79" s="72">
        <v>10000</v>
      </c>
      <c r="H79" s="72"/>
      <c r="I79" s="104"/>
      <c r="J79" s="56">
        <f>SUM(K79+L79+M79)</f>
        <v>0</v>
      </c>
      <c r="K79" s="72"/>
      <c r="L79" s="104"/>
      <c r="M79" s="104"/>
      <c r="N79" s="57">
        <f>SUM(O79+P79+Q79)</f>
        <v>0</v>
      </c>
      <c r="O79" s="72"/>
      <c r="P79" s="104"/>
      <c r="Q79" s="104"/>
      <c r="R79" s="104"/>
      <c r="S79" s="104"/>
      <c r="T79" s="72">
        <f>SUM(J79-N79)</f>
        <v>0</v>
      </c>
      <c r="AG79" s="20"/>
      <c r="AH79" s="20"/>
      <c r="AI79" s="20"/>
      <c r="AJ79" s="20"/>
      <c r="AK79" s="20"/>
      <c r="AL79" s="20"/>
      <c r="AM79" s="20"/>
      <c r="AN79" s="21"/>
    </row>
    <row r="80" spans="1:40" s="19" customFormat="1" ht="201" customHeight="1" x14ac:dyDescent="0.4">
      <c r="A80" s="195"/>
      <c r="B80" s="167"/>
      <c r="C80" s="164">
        <v>3132</v>
      </c>
      <c r="D80" s="103"/>
      <c r="E80" s="41" t="s">
        <v>147</v>
      </c>
      <c r="F80" s="53">
        <f t="shared" si="0"/>
        <v>10000</v>
      </c>
      <c r="G80" s="72">
        <v>10000</v>
      </c>
      <c r="H80" s="72"/>
      <c r="I80" s="104"/>
      <c r="J80" s="56"/>
      <c r="K80" s="72"/>
      <c r="L80" s="104"/>
      <c r="M80" s="104"/>
      <c r="N80" s="57"/>
      <c r="O80" s="72"/>
      <c r="P80" s="104"/>
      <c r="Q80" s="104"/>
      <c r="R80" s="104"/>
      <c r="S80" s="104"/>
      <c r="T80" s="72"/>
      <c r="AG80" s="20"/>
      <c r="AH80" s="20"/>
      <c r="AI80" s="20"/>
      <c r="AJ80" s="20"/>
      <c r="AK80" s="20"/>
      <c r="AL80" s="20"/>
      <c r="AM80" s="20"/>
      <c r="AN80" s="21"/>
    </row>
    <row r="81" spans="1:40" s="19" customFormat="1" ht="223.5" customHeight="1" x14ac:dyDescent="0.4">
      <c r="A81" s="195"/>
      <c r="B81" s="167"/>
      <c r="C81" s="164">
        <v>3132</v>
      </c>
      <c r="D81" s="103"/>
      <c r="E81" s="41" t="s">
        <v>148</v>
      </c>
      <c r="F81" s="53">
        <f t="shared" si="0"/>
        <v>10000</v>
      </c>
      <c r="G81" s="72">
        <v>10000</v>
      </c>
      <c r="H81" s="72"/>
      <c r="I81" s="104"/>
      <c r="J81" s="56"/>
      <c r="K81" s="72"/>
      <c r="L81" s="104"/>
      <c r="M81" s="104"/>
      <c r="N81" s="57"/>
      <c r="O81" s="72"/>
      <c r="P81" s="104"/>
      <c r="Q81" s="104"/>
      <c r="R81" s="104"/>
      <c r="S81" s="104"/>
      <c r="T81" s="72"/>
      <c r="AG81" s="20"/>
      <c r="AH81" s="20"/>
      <c r="AI81" s="20"/>
      <c r="AJ81" s="20"/>
      <c r="AK81" s="20"/>
      <c r="AL81" s="20"/>
      <c r="AM81" s="20"/>
      <c r="AN81" s="21"/>
    </row>
    <row r="82" spans="1:40" s="19" customFormat="1" ht="297.75" customHeight="1" x14ac:dyDescent="0.4">
      <c r="A82" s="196"/>
      <c r="B82" s="167"/>
      <c r="C82" s="164">
        <v>3142</v>
      </c>
      <c r="D82" s="103"/>
      <c r="E82" s="41" t="s">
        <v>149</v>
      </c>
      <c r="F82" s="53">
        <f t="shared" si="0"/>
        <v>10000</v>
      </c>
      <c r="G82" s="72">
        <v>10000</v>
      </c>
      <c r="H82" s="72"/>
      <c r="I82" s="104"/>
      <c r="J82" s="56"/>
      <c r="K82" s="72"/>
      <c r="L82" s="104"/>
      <c r="M82" s="104"/>
      <c r="N82" s="57"/>
      <c r="O82" s="72"/>
      <c r="P82" s="104"/>
      <c r="Q82" s="104"/>
      <c r="R82" s="104"/>
      <c r="S82" s="104"/>
      <c r="T82" s="72"/>
      <c r="AG82" s="20"/>
      <c r="AH82" s="20"/>
      <c r="AI82" s="20"/>
      <c r="AJ82" s="20"/>
      <c r="AK82" s="20"/>
      <c r="AL82" s="20"/>
      <c r="AM82" s="20"/>
      <c r="AN82" s="21"/>
    </row>
    <row r="83" spans="1:40" s="19" customFormat="1" ht="64.5" customHeight="1" x14ac:dyDescent="0.4">
      <c r="A83" s="188" t="s">
        <v>143</v>
      </c>
      <c r="B83" s="188"/>
      <c r="C83" s="188"/>
      <c r="D83" s="188"/>
      <c r="E83" s="188"/>
      <c r="F83" s="94">
        <f t="shared" si="0"/>
        <v>60000</v>
      </c>
      <c r="G83" s="60">
        <f>SUM(G77:G82)</f>
        <v>60000</v>
      </c>
      <c r="H83" s="60">
        <f t="shared" ref="H83:T83" si="29">SUM(H77:H79)</f>
        <v>0</v>
      </c>
      <c r="I83" s="60">
        <f t="shared" si="29"/>
        <v>0</v>
      </c>
      <c r="J83" s="60">
        <f t="shared" si="29"/>
        <v>0</v>
      </c>
      <c r="K83" s="60">
        <f t="shared" si="29"/>
        <v>0</v>
      </c>
      <c r="L83" s="60">
        <f t="shared" si="29"/>
        <v>0</v>
      </c>
      <c r="M83" s="60">
        <f t="shared" si="29"/>
        <v>0</v>
      </c>
      <c r="N83" s="60">
        <f t="shared" si="29"/>
        <v>0</v>
      </c>
      <c r="O83" s="60">
        <f t="shared" si="29"/>
        <v>0</v>
      </c>
      <c r="P83" s="60">
        <f t="shared" si="29"/>
        <v>0</v>
      </c>
      <c r="Q83" s="60">
        <f t="shared" si="29"/>
        <v>0</v>
      </c>
      <c r="R83" s="60">
        <f t="shared" si="29"/>
        <v>0</v>
      </c>
      <c r="S83" s="60">
        <f t="shared" si="29"/>
        <v>0</v>
      </c>
      <c r="T83" s="60">
        <f t="shared" si="29"/>
        <v>0</v>
      </c>
      <c r="AG83" s="20"/>
      <c r="AH83" s="20"/>
      <c r="AI83" s="20"/>
      <c r="AJ83" s="20"/>
      <c r="AK83" s="20"/>
      <c r="AL83" s="20"/>
      <c r="AM83" s="20"/>
      <c r="AN83" s="21"/>
    </row>
    <row r="84" spans="1:40" s="1" customFormat="1" ht="53.25" customHeight="1" x14ac:dyDescent="0.4">
      <c r="A84" s="113"/>
      <c r="B84" s="105"/>
      <c r="C84" s="106"/>
      <c r="D84" s="107"/>
      <c r="E84" s="156" t="s">
        <v>16</v>
      </c>
      <c r="F84" s="177">
        <f t="shared" si="0"/>
        <v>48130243</v>
      </c>
      <c r="G84" s="132">
        <f t="shared" ref="G84:Q84" si="30">G83+G76+G45+G41+G37+G31+G18+G16+G14</f>
        <v>31540000</v>
      </c>
      <c r="H84" s="132">
        <f t="shared" si="30"/>
        <v>0</v>
      </c>
      <c r="I84" s="132">
        <f t="shared" si="30"/>
        <v>16590243</v>
      </c>
      <c r="J84" s="132">
        <f t="shared" si="30"/>
        <v>0</v>
      </c>
      <c r="K84" s="132">
        <f t="shared" si="30"/>
        <v>0</v>
      </c>
      <c r="L84" s="132">
        <f t="shared" si="30"/>
        <v>0</v>
      </c>
      <c r="M84" s="132">
        <f t="shared" si="30"/>
        <v>0</v>
      </c>
      <c r="N84" s="132">
        <f t="shared" si="30"/>
        <v>0</v>
      </c>
      <c r="O84" s="132">
        <f t="shared" si="30"/>
        <v>0</v>
      </c>
      <c r="P84" s="132">
        <f t="shared" si="30"/>
        <v>0</v>
      </c>
      <c r="Q84" s="132">
        <f t="shared" si="30"/>
        <v>0</v>
      </c>
      <c r="R84" s="132">
        <f>R76+R45+R41+R37+R31+R18+R16+R14</f>
        <v>0</v>
      </c>
      <c r="S84" s="132">
        <f>S76+S45+S41+S37+S31+S18+S16+S14</f>
        <v>0</v>
      </c>
      <c r="T84" s="132">
        <f>T83+T76+T45+T41+T37+T31+T18+T16+T14</f>
        <v>0</v>
      </c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6"/>
      <c r="AH84" s="6"/>
      <c r="AI84" s="6"/>
      <c r="AJ84" s="6"/>
      <c r="AK84" s="6"/>
      <c r="AL84" s="6"/>
      <c r="AM84" s="6"/>
    </row>
    <row r="85" spans="1:40" s="1" customFormat="1" ht="62.25" customHeight="1" x14ac:dyDescent="0.4">
      <c r="A85" s="189" t="s">
        <v>124</v>
      </c>
      <c r="B85" s="189"/>
      <c r="C85" s="189"/>
      <c r="D85" s="189"/>
      <c r="E85" s="189"/>
      <c r="F85" s="110"/>
      <c r="G85" s="109"/>
      <c r="H85" s="109"/>
      <c r="I85" s="109"/>
      <c r="J85" s="110"/>
      <c r="K85" s="109"/>
      <c r="L85" s="109"/>
      <c r="M85" s="109"/>
      <c r="N85" s="110"/>
      <c r="O85" s="111"/>
      <c r="P85" s="111"/>
      <c r="Q85" s="111"/>
      <c r="R85" s="111"/>
      <c r="S85" s="111"/>
      <c r="T85" s="111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6"/>
      <c r="AH85" s="6"/>
      <c r="AI85" s="6"/>
      <c r="AJ85" s="6"/>
      <c r="AK85" s="6"/>
      <c r="AL85" s="6"/>
      <c r="AM85" s="6"/>
    </row>
    <row r="86" spans="1:40" s="1" customFormat="1" ht="26.45" customHeight="1" x14ac:dyDescent="0.6">
      <c r="A86" s="15"/>
      <c r="C86" s="2"/>
      <c r="D86" s="31"/>
      <c r="F86" s="22"/>
      <c r="J86" s="23"/>
      <c r="N86" s="21"/>
      <c r="O86" s="6"/>
      <c r="P86" s="6"/>
      <c r="Q86" s="6"/>
      <c r="R86" s="6"/>
      <c r="S86" s="6"/>
      <c r="T86" s="6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6"/>
      <c r="AH86" s="6"/>
      <c r="AI86" s="6"/>
      <c r="AJ86" s="6"/>
      <c r="AK86" s="6"/>
      <c r="AL86" s="6"/>
      <c r="AM86" s="6"/>
    </row>
    <row r="87" spans="1:40" s="1" customFormat="1" ht="26.45" customHeight="1" x14ac:dyDescent="0.6">
      <c r="A87" s="15"/>
      <c r="C87" s="2"/>
      <c r="D87" s="31"/>
      <c r="F87" s="22"/>
      <c r="J87" s="23"/>
      <c r="N87" s="21"/>
      <c r="O87" s="6"/>
      <c r="P87" s="6"/>
      <c r="Q87" s="6"/>
      <c r="R87" s="6"/>
      <c r="S87" s="6"/>
      <c r="T87" s="6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6"/>
      <c r="AH87" s="6"/>
      <c r="AI87" s="6"/>
      <c r="AJ87" s="6"/>
      <c r="AK87" s="6"/>
      <c r="AL87" s="6"/>
      <c r="AM87" s="6"/>
    </row>
    <row r="88" spans="1:40" s="1" customFormat="1" ht="26.45" customHeight="1" x14ac:dyDescent="0.6">
      <c r="A88" s="15"/>
      <c r="C88" s="2"/>
      <c r="D88" s="31"/>
      <c r="F88" s="22"/>
      <c r="J88" s="23"/>
      <c r="N88" s="21"/>
      <c r="O88" s="6"/>
      <c r="P88" s="6"/>
      <c r="Q88" s="6"/>
      <c r="R88" s="6"/>
      <c r="S88" s="6"/>
      <c r="T88" s="6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6"/>
      <c r="AH88" s="6"/>
      <c r="AI88" s="6"/>
      <c r="AJ88" s="6"/>
      <c r="AK88" s="6"/>
      <c r="AL88" s="6"/>
      <c r="AM88" s="6"/>
    </row>
    <row r="89" spans="1:40" s="1" customFormat="1" ht="26.45" customHeight="1" x14ac:dyDescent="0.6">
      <c r="A89" s="15"/>
      <c r="C89" s="2"/>
      <c r="D89" s="31"/>
      <c r="F89" s="22"/>
      <c r="J89" s="23"/>
      <c r="N89" s="21"/>
      <c r="O89" s="6"/>
      <c r="P89" s="6"/>
      <c r="Q89" s="6"/>
      <c r="R89" s="6"/>
      <c r="S89" s="6"/>
      <c r="T89" s="6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6"/>
      <c r="AH89" s="6"/>
      <c r="AI89" s="6"/>
      <c r="AJ89" s="6"/>
      <c r="AK89" s="6"/>
      <c r="AL89" s="6"/>
      <c r="AM89" s="6"/>
    </row>
  </sheetData>
  <mergeCells count="49">
    <mergeCell ref="A12:A13"/>
    <mergeCell ref="A38:A40"/>
    <mergeCell ref="B46:B55"/>
    <mergeCell ref="B57:B58"/>
    <mergeCell ref="B59:E59"/>
    <mergeCell ref="B42:B43"/>
    <mergeCell ref="A42:A44"/>
    <mergeCell ref="A46:A75"/>
    <mergeCell ref="A76:E76"/>
    <mergeCell ref="A83:E83"/>
    <mergeCell ref="A85:E85"/>
    <mergeCell ref="B61:E61"/>
    <mergeCell ref="A14:E14"/>
    <mergeCell ref="A16:E16"/>
    <mergeCell ref="A18:E18"/>
    <mergeCell ref="A20:A30"/>
    <mergeCell ref="A32:A36"/>
    <mergeCell ref="R10:R11"/>
    <mergeCell ref="B62:B65"/>
    <mergeCell ref="B67:E67"/>
    <mergeCell ref="B68:B73"/>
    <mergeCell ref="S10:S11"/>
    <mergeCell ref="G10:G11"/>
    <mergeCell ref="H10:H11"/>
    <mergeCell ref="I10:I11"/>
    <mergeCell ref="K10:K11"/>
    <mergeCell ref="L10:L11"/>
    <mergeCell ref="M10:M11"/>
    <mergeCell ref="J9:J11"/>
    <mergeCell ref="K9:M9"/>
    <mergeCell ref="N9:N11"/>
    <mergeCell ref="O9:Q9"/>
    <mergeCell ref="R9:S9"/>
    <mergeCell ref="A77:A82"/>
    <mergeCell ref="B56:E56"/>
    <mergeCell ref="A5:T5"/>
    <mergeCell ref="A6:T6"/>
    <mergeCell ref="A7:T7"/>
    <mergeCell ref="A9:A11"/>
    <mergeCell ref="B9:B11"/>
    <mergeCell ref="C9:C11"/>
    <mergeCell ref="D9:D11"/>
    <mergeCell ref="E9:E11"/>
    <mergeCell ref="F9:F11"/>
    <mergeCell ref="G9:I9"/>
    <mergeCell ref="T9:T11"/>
    <mergeCell ref="O10:O11"/>
    <mergeCell ref="P10:P11"/>
    <mergeCell ref="Q10:Q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9"/>
  <sheetViews>
    <sheetView tabSelected="1" topLeftCell="A82" zoomScale="25" zoomScaleNormal="25" workbookViewId="0">
      <selection activeCell="E99" sqref="E99"/>
    </sheetView>
  </sheetViews>
  <sheetFormatPr defaultColWidth="8.42578125" defaultRowHeight="12.75" x14ac:dyDescent="0.6"/>
  <cols>
    <col min="1" max="1" width="39.140625" style="15" customWidth="1"/>
    <col min="2" max="2" width="44.140625" style="1" customWidth="1"/>
    <col min="3" max="3" width="29.7109375" style="2" customWidth="1"/>
    <col min="4" max="4" width="1.28515625" style="31" customWidth="1"/>
    <col min="5" max="5" width="153.5703125" style="1" customWidth="1"/>
    <col min="6" max="6" width="83.42578125" style="3" customWidth="1"/>
    <col min="7" max="7" width="62.28515625" style="1" customWidth="1"/>
    <col min="8" max="8" width="69.7109375" style="1" customWidth="1"/>
    <col min="9" max="9" width="56.85546875" style="1" customWidth="1"/>
    <col min="10" max="10" width="69.7109375" style="4" customWidth="1"/>
    <col min="11" max="11" width="66.7109375" style="1" customWidth="1"/>
    <col min="12" max="12" width="67.28515625" style="1" customWidth="1"/>
    <col min="13" max="13" width="48.42578125" style="1" customWidth="1"/>
    <col min="14" max="14" width="65.85546875" style="5" customWidth="1"/>
    <col min="15" max="15" width="65.5703125" style="6" customWidth="1"/>
    <col min="16" max="16" width="71.42578125" style="6" customWidth="1"/>
    <col min="17" max="17" width="52" style="6" customWidth="1"/>
    <col min="18" max="18" width="35.42578125" style="6" hidden="1" customWidth="1"/>
    <col min="19" max="19" width="37.7109375" style="6" hidden="1" customWidth="1"/>
    <col min="20" max="20" width="60.140625" style="6" customWidth="1"/>
    <col min="21" max="21" width="60.42578125" style="7" customWidth="1"/>
    <col min="22" max="22" width="18.42578125" style="7" customWidth="1"/>
    <col min="23" max="23" width="20.42578125" style="7" customWidth="1"/>
    <col min="24" max="24" width="21.42578125" style="7" customWidth="1"/>
    <col min="25" max="25" width="18.42578125" style="7" customWidth="1"/>
    <col min="26" max="26" width="17.42578125" style="7" customWidth="1"/>
    <col min="27" max="32" width="8.42578125" style="7" customWidth="1"/>
    <col min="33" max="39" width="8.42578125" style="6" customWidth="1"/>
    <col min="40" max="247" width="8.42578125" style="1" customWidth="1"/>
  </cols>
  <sheetData>
    <row r="1" spans="1:40" ht="12.75" customHeight="1" x14ac:dyDescent="0.4">
      <c r="A1" s="8"/>
      <c r="B1" s="8"/>
      <c r="C1" s="8"/>
      <c r="D1" s="2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40" ht="12.75" customHeight="1" x14ac:dyDescent="0.4">
      <c r="A2" s="8"/>
      <c r="B2" s="8"/>
      <c r="C2" s="8"/>
      <c r="D2" s="2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40" ht="29.25" customHeight="1" x14ac:dyDescent="0.4">
      <c r="A3" s="9"/>
      <c r="B3" s="9"/>
      <c r="C3" s="10"/>
      <c r="D3" s="30"/>
      <c r="E3" s="9"/>
      <c r="F3" s="11"/>
      <c r="G3" s="9"/>
      <c r="H3" s="9"/>
      <c r="I3" s="9"/>
      <c r="J3" s="11"/>
      <c r="K3" s="9"/>
      <c r="L3" s="9"/>
      <c r="M3" s="9"/>
      <c r="N3" s="12"/>
    </row>
    <row r="4" spans="1:40" ht="45.2" customHeight="1" x14ac:dyDescent="0.4">
      <c r="A4" s="9"/>
      <c r="B4" s="9"/>
      <c r="C4" s="10"/>
      <c r="D4" s="30"/>
      <c r="E4" s="9"/>
      <c r="F4" s="11"/>
      <c r="G4" s="9"/>
      <c r="H4" s="9"/>
      <c r="I4" s="9"/>
      <c r="J4" s="11"/>
      <c r="K4" s="9"/>
      <c r="L4" s="9"/>
      <c r="M4" s="9"/>
      <c r="N4" s="12"/>
    </row>
    <row r="5" spans="1:40" ht="54.75" customHeight="1" x14ac:dyDescent="0.4">
      <c r="A5" s="238" t="s">
        <v>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</row>
    <row r="6" spans="1:40" ht="59.25" customHeight="1" x14ac:dyDescent="0.4">
      <c r="A6" s="238" t="s">
        <v>152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</row>
    <row r="7" spans="1:40" s="15" customFormat="1" ht="57" customHeight="1" x14ac:dyDescent="0.2">
      <c r="A7" s="238" t="s">
        <v>64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4"/>
      <c r="AH7" s="14"/>
      <c r="AI7" s="14"/>
      <c r="AJ7" s="14"/>
      <c r="AK7" s="14"/>
      <c r="AL7" s="14"/>
      <c r="AM7" s="14"/>
    </row>
    <row r="8" spans="1:40" ht="24.4" customHeight="1" x14ac:dyDescent="0.4">
      <c r="A8" s="32"/>
      <c r="B8" s="42"/>
      <c r="C8" s="43"/>
      <c r="D8" s="44"/>
      <c r="E8" s="42"/>
      <c r="F8" s="45"/>
      <c r="G8" s="42"/>
      <c r="H8" s="42"/>
      <c r="I8" s="42"/>
      <c r="J8" s="45"/>
      <c r="K8" s="42"/>
      <c r="L8" s="42"/>
      <c r="M8" s="42"/>
      <c r="N8" s="46"/>
      <c r="O8" s="46"/>
      <c r="P8" s="46"/>
      <c r="Q8" s="46"/>
      <c r="R8" s="46"/>
      <c r="S8" s="47"/>
      <c r="T8" s="48" t="s">
        <v>1</v>
      </c>
    </row>
    <row r="9" spans="1:40" ht="69.400000000000006" customHeight="1" x14ac:dyDescent="0.4">
      <c r="A9" s="239" t="s">
        <v>2</v>
      </c>
      <c r="B9" s="251" t="s">
        <v>3</v>
      </c>
      <c r="C9" s="243" t="s">
        <v>4</v>
      </c>
      <c r="D9" s="252"/>
      <c r="E9" s="247" t="s">
        <v>5</v>
      </c>
      <c r="F9" s="248" t="s">
        <v>104</v>
      </c>
      <c r="G9" s="221" t="s">
        <v>6</v>
      </c>
      <c r="H9" s="221"/>
      <c r="I9" s="221"/>
      <c r="J9" s="237" t="s">
        <v>7</v>
      </c>
      <c r="K9" s="221" t="s">
        <v>6</v>
      </c>
      <c r="L9" s="221"/>
      <c r="M9" s="221"/>
      <c r="N9" s="250" t="s">
        <v>8</v>
      </c>
      <c r="O9" s="221" t="s">
        <v>6</v>
      </c>
      <c r="P9" s="221"/>
      <c r="Q9" s="221"/>
      <c r="R9" s="231" t="s">
        <v>30</v>
      </c>
      <c r="S9" s="231"/>
      <c r="T9" s="249" t="s">
        <v>9</v>
      </c>
    </row>
    <row r="10" spans="1:40" ht="123" customHeight="1" x14ac:dyDescent="0.4">
      <c r="A10" s="239"/>
      <c r="B10" s="251"/>
      <c r="C10" s="243"/>
      <c r="D10" s="252"/>
      <c r="E10" s="247"/>
      <c r="F10" s="248"/>
      <c r="G10" s="221" t="s">
        <v>10</v>
      </c>
      <c r="H10" s="221" t="s">
        <v>11</v>
      </c>
      <c r="I10" s="221" t="s">
        <v>12</v>
      </c>
      <c r="J10" s="237"/>
      <c r="K10" s="221" t="s">
        <v>10</v>
      </c>
      <c r="L10" s="221" t="s">
        <v>13</v>
      </c>
      <c r="M10" s="221" t="s">
        <v>14</v>
      </c>
      <c r="N10" s="250"/>
      <c r="O10" s="221" t="s">
        <v>10</v>
      </c>
      <c r="P10" s="221" t="s">
        <v>13</v>
      </c>
      <c r="Q10" s="221" t="s">
        <v>12</v>
      </c>
      <c r="R10" s="221" t="s">
        <v>19</v>
      </c>
      <c r="S10" s="221" t="s">
        <v>15</v>
      </c>
      <c r="T10" s="249"/>
    </row>
    <row r="11" spans="1:40" s="16" customFormat="1" ht="104.25" customHeight="1" x14ac:dyDescent="0.4">
      <c r="A11" s="239"/>
      <c r="B11" s="251"/>
      <c r="C11" s="243"/>
      <c r="D11" s="252"/>
      <c r="E11" s="247"/>
      <c r="F11" s="248"/>
      <c r="G11" s="221"/>
      <c r="H11" s="221"/>
      <c r="I11" s="221"/>
      <c r="J11" s="237"/>
      <c r="K11" s="221"/>
      <c r="L11" s="221"/>
      <c r="M11" s="221"/>
      <c r="N11" s="250"/>
      <c r="O11" s="221"/>
      <c r="P11" s="221"/>
      <c r="Q11" s="221"/>
      <c r="R11" s="221"/>
      <c r="S11" s="221"/>
      <c r="T11" s="249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6"/>
      <c r="AH11" s="6"/>
      <c r="AI11" s="6"/>
      <c r="AJ11" s="6"/>
      <c r="AK11" s="6"/>
      <c r="AL11" s="6"/>
      <c r="AM11" s="6"/>
      <c r="AN11" s="1"/>
    </row>
    <row r="12" spans="1:40" s="18" customFormat="1" ht="378.75" customHeight="1" x14ac:dyDescent="0.4">
      <c r="A12" s="216">
        <v>1512010</v>
      </c>
      <c r="B12" s="49"/>
      <c r="C12" s="50">
        <v>3132</v>
      </c>
      <c r="D12" s="51"/>
      <c r="E12" s="52" t="s">
        <v>105</v>
      </c>
      <c r="F12" s="53">
        <f>G12+H12+I12</f>
        <v>40000</v>
      </c>
      <c r="G12" s="174">
        <v>40000</v>
      </c>
      <c r="H12" s="55"/>
      <c r="I12" s="55"/>
      <c r="J12" s="56">
        <f>SUM(K12:M12)</f>
        <v>0</v>
      </c>
      <c r="K12" s="55"/>
      <c r="L12" s="55"/>
      <c r="M12" s="55"/>
      <c r="N12" s="57">
        <f>SUM(O12:Q12)</f>
        <v>0</v>
      </c>
      <c r="O12" s="55"/>
      <c r="P12" s="55"/>
      <c r="Q12" s="58"/>
      <c r="R12" s="55"/>
      <c r="S12" s="55"/>
      <c r="T12" s="55">
        <f>J12-N12</f>
        <v>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7"/>
      <c r="AH12" s="17"/>
      <c r="AI12" s="17"/>
      <c r="AJ12" s="17"/>
      <c r="AK12" s="17"/>
      <c r="AL12" s="17"/>
      <c r="AM12" s="17"/>
    </row>
    <row r="13" spans="1:40" s="18" customFormat="1" ht="378.75" customHeight="1" x14ac:dyDescent="0.4">
      <c r="A13" s="217"/>
      <c r="B13" s="49"/>
      <c r="C13" s="50">
        <v>3132</v>
      </c>
      <c r="D13" s="51"/>
      <c r="E13" s="52" t="s">
        <v>107</v>
      </c>
      <c r="F13" s="53">
        <f>G13+H13+I13</f>
        <v>7000000</v>
      </c>
      <c r="G13" s="174">
        <v>7000000</v>
      </c>
      <c r="H13" s="55"/>
      <c r="I13" s="55"/>
      <c r="J13" s="56">
        <f>SUM(K13:M13)</f>
        <v>0</v>
      </c>
      <c r="K13" s="55"/>
      <c r="L13" s="55"/>
      <c r="M13" s="55"/>
      <c r="N13" s="57">
        <f>SUM(O13:Q13)</f>
        <v>0</v>
      </c>
      <c r="O13" s="55"/>
      <c r="P13" s="55"/>
      <c r="Q13" s="58"/>
      <c r="R13" s="55"/>
      <c r="S13" s="55"/>
      <c r="T13" s="55">
        <f>J13-N13</f>
        <v>0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7"/>
      <c r="AH13" s="17"/>
      <c r="AI13" s="17"/>
      <c r="AJ13" s="17"/>
      <c r="AK13" s="17"/>
      <c r="AL13" s="17"/>
      <c r="AM13" s="17"/>
    </row>
    <row r="14" spans="1:40" s="18" customFormat="1" ht="57.75" customHeight="1" x14ac:dyDescent="0.4">
      <c r="A14" s="256" t="s">
        <v>106</v>
      </c>
      <c r="B14" s="256"/>
      <c r="C14" s="256"/>
      <c r="D14" s="256"/>
      <c r="E14" s="256"/>
      <c r="F14" s="94">
        <f t="shared" ref="F14:F84" si="0">G14+H14+I14</f>
        <v>7040000</v>
      </c>
      <c r="G14" s="171">
        <f t="shared" ref="G14:T14" si="1">SUM(G12:G13)</f>
        <v>7040000</v>
      </c>
      <c r="H14" s="171">
        <f t="shared" si="1"/>
        <v>0</v>
      </c>
      <c r="I14" s="171">
        <f t="shared" si="1"/>
        <v>0</v>
      </c>
      <c r="J14" s="171">
        <f t="shared" si="1"/>
        <v>0</v>
      </c>
      <c r="K14" s="171">
        <f t="shared" si="1"/>
        <v>0</v>
      </c>
      <c r="L14" s="171">
        <f t="shared" si="1"/>
        <v>0</v>
      </c>
      <c r="M14" s="171">
        <f t="shared" si="1"/>
        <v>0</v>
      </c>
      <c r="N14" s="171">
        <f t="shared" si="1"/>
        <v>0</v>
      </c>
      <c r="O14" s="171">
        <f t="shared" si="1"/>
        <v>0</v>
      </c>
      <c r="P14" s="171">
        <f t="shared" si="1"/>
        <v>0</v>
      </c>
      <c r="Q14" s="171">
        <f t="shared" si="1"/>
        <v>0</v>
      </c>
      <c r="R14" s="171">
        <f t="shared" si="1"/>
        <v>0</v>
      </c>
      <c r="S14" s="171">
        <f t="shared" si="1"/>
        <v>0</v>
      </c>
      <c r="T14" s="171">
        <f t="shared" si="1"/>
        <v>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7"/>
      <c r="AH14" s="17"/>
      <c r="AI14" s="17"/>
      <c r="AJ14" s="17"/>
      <c r="AK14" s="17"/>
      <c r="AL14" s="17"/>
      <c r="AM14" s="17"/>
    </row>
    <row r="15" spans="1:40" s="18" customFormat="1" ht="208.5" customHeight="1" x14ac:dyDescent="0.4">
      <c r="A15" s="33">
        <v>1512020</v>
      </c>
      <c r="B15" s="49"/>
      <c r="C15" s="50">
        <v>3132</v>
      </c>
      <c r="D15" s="51"/>
      <c r="E15" s="52" t="s">
        <v>109</v>
      </c>
      <c r="F15" s="53">
        <f t="shared" si="0"/>
        <v>300000</v>
      </c>
      <c r="G15" s="174">
        <v>300000</v>
      </c>
      <c r="H15" s="55"/>
      <c r="I15" s="55"/>
      <c r="J15" s="56">
        <f>SUM(K15:M15)</f>
        <v>0</v>
      </c>
      <c r="K15" s="55"/>
      <c r="L15" s="55"/>
      <c r="M15" s="55"/>
      <c r="N15" s="57">
        <f>SUM(O15:Q15)</f>
        <v>0</v>
      </c>
      <c r="O15" s="55"/>
      <c r="P15" s="55"/>
      <c r="Q15" s="58"/>
      <c r="R15" s="55"/>
      <c r="S15" s="55"/>
      <c r="T15" s="55">
        <f>J15-N15</f>
        <v>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7"/>
      <c r="AH15" s="17"/>
      <c r="AI15" s="17"/>
      <c r="AJ15" s="17"/>
      <c r="AK15" s="17"/>
      <c r="AL15" s="17"/>
      <c r="AM15" s="17"/>
    </row>
    <row r="16" spans="1:40" s="18" customFormat="1" ht="48.75" customHeight="1" x14ac:dyDescent="0.4">
      <c r="A16" s="256" t="s">
        <v>108</v>
      </c>
      <c r="B16" s="256"/>
      <c r="C16" s="256"/>
      <c r="D16" s="256"/>
      <c r="E16" s="256"/>
      <c r="F16" s="94">
        <f t="shared" si="0"/>
        <v>300000</v>
      </c>
      <c r="G16" s="171">
        <f>SUM(G15)</f>
        <v>300000</v>
      </c>
      <c r="H16" s="171">
        <f>SUM(H15)</f>
        <v>0</v>
      </c>
      <c r="I16" s="171">
        <f t="shared" ref="I16:T16" si="2">SUM(I15:I15)</f>
        <v>0</v>
      </c>
      <c r="J16" s="171">
        <f t="shared" si="2"/>
        <v>0</v>
      </c>
      <c r="K16" s="171">
        <f t="shared" si="2"/>
        <v>0</v>
      </c>
      <c r="L16" s="171">
        <f t="shared" si="2"/>
        <v>0</v>
      </c>
      <c r="M16" s="171">
        <f t="shared" si="2"/>
        <v>0</v>
      </c>
      <c r="N16" s="171">
        <f t="shared" si="2"/>
        <v>0</v>
      </c>
      <c r="O16" s="171">
        <f t="shared" si="2"/>
        <v>0</v>
      </c>
      <c r="P16" s="171">
        <f t="shared" si="2"/>
        <v>0</v>
      </c>
      <c r="Q16" s="171">
        <f t="shared" si="2"/>
        <v>0</v>
      </c>
      <c r="R16" s="171">
        <f t="shared" si="2"/>
        <v>0</v>
      </c>
      <c r="S16" s="171">
        <f t="shared" si="2"/>
        <v>0</v>
      </c>
      <c r="T16" s="171">
        <f t="shared" si="2"/>
        <v>0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7"/>
      <c r="AH16" s="17"/>
      <c r="AI16" s="17"/>
      <c r="AJ16" s="17"/>
      <c r="AK16" s="17"/>
      <c r="AL16" s="17"/>
      <c r="AM16" s="17"/>
    </row>
    <row r="17" spans="1:40" s="18" customFormat="1" ht="294" customHeight="1" x14ac:dyDescent="0.4">
      <c r="A17" s="33">
        <v>1514040</v>
      </c>
      <c r="B17" s="49"/>
      <c r="C17" s="50">
        <v>3132</v>
      </c>
      <c r="D17" s="51"/>
      <c r="E17" s="52" t="s">
        <v>110</v>
      </c>
      <c r="F17" s="53">
        <f t="shared" si="0"/>
        <v>250000</v>
      </c>
      <c r="G17" s="174">
        <v>250000</v>
      </c>
      <c r="H17" s="55"/>
      <c r="I17" s="55"/>
      <c r="J17" s="56">
        <f>SUM(K17:M17)</f>
        <v>0</v>
      </c>
      <c r="K17" s="55"/>
      <c r="L17" s="55"/>
      <c r="M17" s="55"/>
      <c r="N17" s="57">
        <f>SUM(O17:Q17)</f>
        <v>0</v>
      </c>
      <c r="O17" s="55"/>
      <c r="P17" s="55"/>
      <c r="Q17" s="58"/>
      <c r="R17" s="55"/>
      <c r="S17" s="55"/>
      <c r="T17" s="55">
        <f>J17-N17</f>
        <v>0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7"/>
      <c r="AH17" s="17"/>
      <c r="AI17" s="17"/>
      <c r="AJ17" s="17"/>
      <c r="AK17" s="17"/>
      <c r="AL17" s="17"/>
      <c r="AM17" s="17"/>
    </row>
    <row r="18" spans="1:40" s="18" customFormat="1" ht="48.75" customHeight="1" x14ac:dyDescent="0.4">
      <c r="A18" s="256" t="s">
        <v>111</v>
      </c>
      <c r="B18" s="256"/>
      <c r="C18" s="256"/>
      <c r="D18" s="256"/>
      <c r="E18" s="256"/>
      <c r="F18" s="94">
        <f t="shared" si="0"/>
        <v>250000</v>
      </c>
      <c r="G18" s="171">
        <f>SUM(G17)</f>
        <v>250000</v>
      </c>
      <c r="H18" s="171">
        <f>SUM(H17)</f>
        <v>0</v>
      </c>
      <c r="I18" s="171">
        <f t="shared" ref="I18:T18" si="3">SUM(I17:I17)</f>
        <v>0</v>
      </c>
      <c r="J18" s="171">
        <f t="shared" si="3"/>
        <v>0</v>
      </c>
      <c r="K18" s="171">
        <f t="shared" si="3"/>
        <v>0</v>
      </c>
      <c r="L18" s="171">
        <f t="shared" si="3"/>
        <v>0</v>
      </c>
      <c r="M18" s="171">
        <f t="shared" si="3"/>
        <v>0</v>
      </c>
      <c r="N18" s="171">
        <f t="shared" si="3"/>
        <v>0</v>
      </c>
      <c r="O18" s="171">
        <f t="shared" si="3"/>
        <v>0</v>
      </c>
      <c r="P18" s="171">
        <f t="shared" si="3"/>
        <v>0</v>
      </c>
      <c r="Q18" s="171">
        <f t="shared" si="3"/>
        <v>0</v>
      </c>
      <c r="R18" s="171">
        <f t="shared" si="3"/>
        <v>0</v>
      </c>
      <c r="S18" s="171">
        <f t="shared" si="3"/>
        <v>0</v>
      </c>
      <c r="T18" s="171">
        <f t="shared" si="3"/>
        <v>0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7"/>
      <c r="AH18" s="17"/>
      <c r="AI18" s="17"/>
      <c r="AJ18" s="17"/>
      <c r="AK18" s="17"/>
      <c r="AL18" s="17"/>
      <c r="AM18" s="17"/>
    </row>
    <row r="19" spans="1:40" s="28" customFormat="1" ht="5.25" customHeight="1" x14ac:dyDescent="0.4">
      <c r="A19" s="141"/>
      <c r="B19" s="160"/>
      <c r="C19" s="141"/>
      <c r="D19" s="136"/>
      <c r="E19" s="137"/>
      <c r="F19" s="53">
        <f t="shared" si="0"/>
        <v>0</v>
      </c>
      <c r="G19" s="104"/>
      <c r="H19" s="72"/>
      <c r="I19" s="104"/>
      <c r="J19" s="138">
        <f>K19+L19+M19</f>
        <v>0</v>
      </c>
      <c r="K19" s="104"/>
      <c r="L19" s="72"/>
      <c r="M19" s="104"/>
      <c r="N19" s="74"/>
      <c r="O19" s="72"/>
      <c r="P19" s="72"/>
      <c r="Q19" s="72"/>
      <c r="R19" s="72"/>
      <c r="S19" s="72"/>
      <c r="T19" s="72">
        <f>J19-N19</f>
        <v>0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7"/>
      <c r="AH19" s="27"/>
      <c r="AI19" s="27"/>
      <c r="AJ19" s="27"/>
      <c r="AK19" s="27"/>
      <c r="AL19" s="27"/>
      <c r="AM19" s="27"/>
    </row>
    <row r="20" spans="1:40" s="7" customFormat="1" ht="366" customHeight="1" x14ac:dyDescent="0.4">
      <c r="A20" s="222">
        <v>1517322</v>
      </c>
      <c r="B20" s="122"/>
      <c r="C20" s="50">
        <v>3142</v>
      </c>
      <c r="D20" s="51"/>
      <c r="E20" s="52" t="s">
        <v>112</v>
      </c>
      <c r="F20" s="53">
        <f t="shared" si="0"/>
        <v>700000</v>
      </c>
      <c r="G20" s="55">
        <v>700000</v>
      </c>
      <c r="H20" s="55"/>
      <c r="I20" s="55"/>
      <c r="J20" s="56">
        <f>SUM(K20:M20)</f>
        <v>0</v>
      </c>
      <c r="K20" s="55"/>
      <c r="L20" s="55"/>
      <c r="M20" s="55"/>
      <c r="N20" s="57">
        <f t="shared" ref="N20:N24" si="4">SUM(O20:Q20)</f>
        <v>0</v>
      </c>
      <c r="O20" s="55"/>
      <c r="P20" s="55"/>
      <c r="Q20" s="58"/>
      <c r="R20" s="55"/>
      <c r="S20" s="55"/>
      <c r="T20" s="55">
        <f t="shared" ref="T20:T24" si="5">J20-N20</f>
        <v>0</v>
      </c>
      <c r="AG20" s="6"/>
      <c r="AH20" s="6"/>
      <c r="AI20" s="6"/>
      <c r="AJ20" s="6"/>
      <c r="AK20" s="6"/>
      <c r="AL20" s="6"/>
      <c r="AM20" s="6"/>
      <c r="AN20" s="1"/>
    </row>
    <row r="21" spans="1:40" s="7" customFormat="1" ht="312" customHeight="1" x14ac:dyDescent="0.4">
      <c r="A21" s="257"/>
      <c r="B21" s="122"/>
      <c r="C21" s="50">
        <v>3142</v>
      </c>
      <c r="D21" s="62">
        <v>415</v>
      </c>
      <c r="E21" s="52" t="s">
        <v>113</v>
      </c>
      <c r="F21" s="53">
        <f t="shared" si="0"/>
        <v>2950000</v>
      </c>
      <c r="G21" s="55">
        <v>2950000</v>
      </c>
      <c r="H21" s="55"/>
      <c r="I21" s="55"/>
      <c r="J21" s="56">
        <f>SUM(K21:M21)</f>
        <v>0</v>
      </c>
      <c r="K21" s="55"/>
      <c r="L21" s="55"/>
      <c r="M21" s="55"/>
      <c r="N21" s="57">
        <f t="shared" si="4"/>
        <v>0</v>
      </c>
      <c r="O21" s="55"/>
      <c r="P21" s="55"/>
      <c r="Q21" s="58"/>
      <c r="R21" s="55"/>
      <c r="S21" s="55"/>
      <c r="T21" s="55">
        <f t="shared" si="5"/>
        <v>0</v>
      </c>
      <c r="AG21" s="6"/>
      <c r="AH21" s="6"/>
      <c r="AI21" s="6"/>
      <c r="AJ21" s="6"/>
      <c r="AK21" s="6"/>
      <c r="AL21" s="6"/>
      <c r="AM21" s="6"/>
      <c r="AN21" s="1"/>
    </row>
    <row r="22" spans="1:40" s="7" customFormat="1" ht="371.25" customHeight="1" x14ac:dyDescent="0.4">
      <c r="A22" s="257"/>
      <c r="B22" s="122"/>
      <c r="C22" s="50">
        <v>3142</v>
      </c>
      <c r="D22" s="51"/>
      <c r="E22" s="52" t="s">
        <v>115</v>
      </c>
      <c r="F22" s="53">
        <f t="shared" si="0"/>
        <v>1450000</v>
      </c>
      <c r="G22" s="55">
        <v>1450000</v>
      </c>
      <c r="H22" s="55"/>
      <c r="I22" s="55"/>
      <c r="J22" s="56">
        <f>SUM(K22:M22)</f>
        <v>0</v>
      </c>
      <c r="K22" s="55"/>
      <c r="L22" s="55"/>
      <c r="M22" s="55"/>
      <c r="N22" s="57">
        <f t="shared" si="4"/>
        <v>0</v>
      </c>
      <c r="O22" s="55"/>
      <c r="P22" s="55"/>
      <c r="Q22" s="58"/>
      <c r="R22" s="55"/>
      <c r="S22" s="55"/>
      <c r="T22" s="55">
        <f t="shared" si="5"/>
        <v>0</v>
      </c>
      <c r="AG22" s="6"/>
      <c r="AH22" s="6"/>
      <c r="AI22" s="6"/>
      <c r="AJ22" s="6"/>
      <c r="AK22" s="6"/>
      <c r="AL22" s="6"/>
      <c r="AM22" s="6"/>
      <c r="AN22" s="1"/>
    </row>
    <row r="23" spans="1:40" s="7" customFormat="1" ht="354.75" customHeight="1" x14ac:dyDescent="0.4">
      <c r="A23" s="257"/>
      <c r="B23" s="122"/>
      <c r="C23" s="50">
        <v>3142</v>
      </c>
      <c r="D23" s="51"/>
      <c r="E23" s="36" t="s">
        <v>116</v>
      </c>
      <c r="F23" s="53">
        <f t="shared" si="0"/>
        <v>210000</v>
      </c>
      <c r="G23" s="55">
        <v>210000</v>
      </c>
      <c r="H23" s="55"/>
      <c r="I23" s="55"/>
      <c r="J23" s="56">
        <f t="shared" ref="J23:J24" si="6">SUM(K23:M23)</f>
        <v>0</v>
      </c>
      <c r="K23" s="55"/>
      <c r="L23" s="55"/>
      <c r="M23" s="55"/>
      <c r="N23" s="57">
        <f t="shared" si="4"/>
        <v>0</v>
      </c>
      <c r="O23" s="55"/>
      <c r="P23" s="55"/>
      <c r="Q23" s="58"/>
      <c r="R23" s="55"/>
      <c r="S23" s="55"/>
      <c r="T23" s="55">
        <f t="shared" si="5"/>
        <v>0</v>
      </c>
      <c r="AG23" s="6"/>
      <c r="AH23" s="6"/>
      <c r="AI23" s="6"/>
      <c r="AJ23" s="6"/>
      <c r="AK23" s="6"/>
      <c r="AL23" s="6"/>
      <c r="AM23" s="6"/>
      <c r="AN23" s="1"/>
    </row>
    <row r="24" spans="1:40" s="7" customFormat="1" ht="160.5" customHeight="1" x14ac:dyDescent="0.4">
      <c r="A24" s="257"/>
      <c r="B24" s="122"/>
      <c r="C24" s="50">
        <v>3142</v>
      </c>
      <c r="D24" s="51"/>
      <c r="E24" s="121" t="s">
        <v>69</v>
      </c>
      <c r="F24" s="53">
        <f t="shared" si="0"/>
        <v>230000</v>
      </c>
      <c r="G24" s="55">
        <v>230000</v>
      </c>
      <c r="H24" s="55"/>
      <c r="I24" s="55"/>
      <c r="J24" s="56">
        <f t="shared" si="6"/>
        <v>0</v>
      </c>
      <c r="K24" s="55"/>
      <c r="L24" s="55"/>
      <c r="M24" s="55"/>
      <c r="N24" s="57">
        <f t="shared" si="4"/>
        <v>0</v>
      </c>
      <c r="O24" s="55"/>
      <c r="P24" s="55"/>
      <c r="Q24" s="58"/>
      <c r="R24" s="55"/>
      <c r="S24" s="55"/>
      <c r="T24" s="55">
        <f t="shared" si="5"/>
        <v>0</v>
      </c>
      <c r="AG24" s="6"/>
      <c r="AH24" s="6"/>
      <c r="AI24" s="6"/>
      <c r="AJ24" s="6"/>
      <c r="AK24" s="6"/>
      <c r="AL24" s="6"/>
      <c r="AM24" s="6"/>
      <c r="AN24" s="1"/>
    </row>
    <row r="25" spans="1:40" s="7" customFormat="1" ht="409.6" customHeight="1" x14ac:dyDescent="0.4">
      <c r="A25" s="257"/>
      <c r="B25" s="122"/>
      <c r="C25" s="50">
        <v>3142</v>
      </c>
      <c r="D25" s="51"/>
      <c r="E25" s="121" t="s">
        <v>127</v>
      </c>
      <c r="F25" s="53">
        <f t="shared" si="0"/>
        <v>10000</v>
      </c>
      <c r="G25" s="55">
        <v>10000</v>
      </c>
      <c r="H25" s="55"/>
      <c r="I25" s="55"/>
      <c r="J25" s="56"/>
      <c r="K25" s="55"/>
      <c r="L25" s="55"/>
      <c r="M25" s="55"/>
      <c r="N25" s="57"/>
      <c r="O25" s="55"/>
      <c r="P25" s="55"/>
      <c r="Q25" s="58"/>
      <c r="R25" s="55"/>
      <c r="S25" s="55"/>
      <c r="T25" s="55"/>
      <c r="AG25" s="6"/>
      <c r="AH25" s="6"/>
      <c r="AI25" s="6"/>
      <c r="AJ25" s="6"/>
      <c r="AK25" s="6"/>
      <c r="AL25" s="6"/>
      <c r="AM25" s="6"/>
      <c r="AN25" s="1"/>
    </row>
    <row r="26" spans="1:40" s="7" customFormat="1" ht="260.25" customHeight="1" x14ac:dyDescent="0.4">
      <c r="A26" s="257"/>
      <c r="B26" s="122"/>
      <c r="C26" s="50">
        <v>3142</v>
      </c>
      <c r="D26" s="51"/>
      <c r="E26" s="121" t="s">
        <v>128</v>
      </c>
      <c r="F26" s="53">
        <f t="shared" si="0"/>
        <v>10000</v>
      </c>
      <c r="G26" s="55">
        <v>10000</v>
      </c>
      <c r="H26" s="55"/>
      <c r="I26" s="55"/>
      <c r="J26" s="56"/>
      <c r="K26" s="55"/>
      <c r="L26" s="55"/>
      <c r="M26" s="55"/>
      <c r="N26" s="57"/>
      <c r="O26" s="55"/>
      <c r="P26" s="55"/>
      <c r="Q26" s="58"/>
      <c r="R26" s="55"/>
      <c r="S26" s="55"/>
      <c r="T26" s="55"/>
      <c r="AG26" s="6"/>
      <c r="AH26" s="6"/>
      <c r="AI26" s="6"/>
      <c r="AJ26" s="6"/>
      <c r="AK26" s="6"/>
      <c r="AL26" s="6"/>
      <c r="AM26" s="6"/>
      <c r="AN26" s="1"/>
    </row>
    <row r="27" spans="1:40" s="7" customFormat="1" ht="251.25" customHeight="1" x14ac:dyDescent="0.4">
      <c r="A27" s="257"/>
      <c r="B27" s="122"/>
      <c r="C27" s="50">
        <v>3142</v>
      </c>
      <c r="D27" s="51"/>
      <c r="E27" s="121" t="s">
        <v>129</v>
      </c>
      <c r="F27" s="53">
        <f t="shared" si="0"/>
        <v>10000</v>
      </c>
      <c r="G27" s="55">
        <v>10000</v>
      </c>
      <c r="H27" s="55"/>
      <c r="I27" s="55"/>
      <c r="J27" s="56"/>
      <c r="K27" s="55"/>
      <c r="L27" s="55"/>
      <c r="M27" s="55"/>
      <c r="N27" s="57"/>
      <c r="O27" s="55"/>
      <c r="P27" s="55"/>
      <c r="Q27" s="58"/>
      <c r="R27" s="55"/>
      <c r="S27" s="55"/>
      <c r="T27" s="55"/>
      <c r="AG27" s="6"/>
      <c r="AH27" s="6"/>
      <c r="AI27" s="6"/>
      <c r="AJ27" s="6"/>
      <c r="AK27" s="6"/>
      <c r="AL27" s="6"/>
      <c r="AM27" s="6"/>
      <c r="AN27" s="1"/>
    </row>
    <row r="28" spans="1:40" s="7" customFormat="1" ht="314.25" customHeight="1" x14ac:dyDescent="0.4">
      <c r="A28" s="257"/>
      <c r="B28" s="122"/>
      <c r="C28" s="50">
        <v>3142</v>
      </c>
      <c r="D28" s="51"/>
      <c r="E28" s="121" t="s">
        <v>130</v>
      </c>
      <c r="F28" s="53">
        <f t="shared" si="0"/>
        <v>10000</v>
      </c>
      <c r="G28" s="55">
        <v>10000</v>
      </c>
      <c r="H28" s="55"/>
      <c r="I28" s="55"/>
      <c r="J28" s="56"/>
      <c r="K28" s="55"/>
      <c r="L28" s="55"/>
      <c r="M28" s="55"/>
      <c r="N28" s="57"/>
      <c r="O28" s="55"/>
      <c r="P28" s="55"/>
      <c r="Q28" s="58"/>
      <c r="R28" s="55"/>
      <c r="S28" s="55"/>
      <c r="T28" s="55"/>
      <c r="AG28" s="6"/>
      <c r="AH28" s="6"/>
      <c r="AI28" s="6"/>
      <c r="AJ28" s="6"/>
      <c r="AK28" s="6"/>
      <c r="AL28" s="6"/>
      <c r="AM28" s="6"/>
      <c r="AN28" s="1"/>
    </row>
    <row r="29" spans="1:40" s="7" customFormat="1" ht="408" customHeight="1" x14ac:dyDescent="0.4">
      <c r="A29" s="257"/>
      <c r="B29" s="122"/>
      <c r="C29" s="50">
        <v>3142</v>
      </c>
      <c r="D29" s="51"/>
      <c r="E29" s="121" t="s">
        <v>131</v>
      </c>
      <c r="F29" s="53">
        <f t="shared" si="0"/>
        <v>1000000</v>
      </c>
      <c r="G29" s="55">
        <v>1000000</v>
      </c>
      <c r="H29" s="55"/>
      <c r="I29" s="55"/>
      <c r="J29" s="56"/>
      <c r="K29" s="55"/>
      <c r="L29" s="55"/>
      <c r="M29" s="55"/>
      <c r="N29" s="57"/>
      <c r="O29" s="55"/>
      <c r="P29" s="55"/>
      <c r="Q29" s="58"/>
      <c r="R29" s="55"/>
      <c r="S29" s="55"/>
      <c r="T29" s="55"/>
      <c r="AG29" s="6"/>
      <c r="AH29" s="6"/>
      <c r="AI29" s="6"/>
      <c r="AJ29" s="6"/>
      <c r="AK29" s="6"/>
      <c r="AL29" s="6"/>
      <c r="AM29" s="6"/>
      <c r="AN29" s="1"/>
    </row>
    <row r="30" spans="1:40" s="7" customFormat="1" ht="357" customHeight="1" x14ac:dyDescent="0.4">
      <c r="A30" s="258"/>
      <c r="B30" s="122"/>
      <c r="C30" s="50">
        <v>3142</v>
      </c>
      <c r="D30" s="51"/>
      <c r="E30" s="121" t="s">
        <v>132</v>
      </c>
      <c r="F30" s="53">
        <f t="shared" si="0"/>
        <v>40000</v>
      </c>
      <c r="G30" s="55">
        <v>40000</v>
      </c>
      <c r="H30" s="55"/>
      <c r="I30" s="55"/>
      <c r="J30" s="56"/>
      <c r="K30" s="55"/>
      <c r="L30" s="55"/>
      <c r="M30" s="55"/>
      <c r="N30" s="57"/>
      <c r="O30" s="55"/>
      <c r="P30" s="55"/>
      <c r="Q30" s="58"/>
      <c r="R30" s="55"/>
      <c r="S30" s="55"/>
      <c r="T30" s="55"/>
      <c r="AG30" s="6"/>
      <c r="AH30" s="6"/>
      <c r="AI30" s="6"/>
      <c r="AJ30" s="6"/>
      <c r="AK30" s="6"/>
      <c r="AL30" s="6"/>
      <c r="AM30" s="6"/>
      <c r="AN30" s="1"/>
    </row>
    <row r="31" spans="1:40" s="7" customFormat="1" ht="48.75" customHeight="1" x14ac:dyDescent="0.4">
      <c r="A31" s="66" t="s">
        <v>34</v>
      </c>
      <c r="B31" s="66"/>
      <c r="C31" s="60"/>
      <c r="D31" s="61"/>
      <c r="E31" s="60"/>
      <c r="F31" s="177">
        <f t="shared" si="0"/>
        <v>6620000</v>
      </c>
      <c r="G31" s="60">
        <f>SUM(G20:G30)</f>
        <v>6620000</v>
      </c>
      <c r="H31" s="60">
        <f t="shared" ref="H31:T31" si="7">SUM(H20:H24)</f>
        <v>0</v>
      </c>
      <c r="I31" s="60">
        <f t="shared" si="7"/>
        <v>0</v>
      </c>
      <c r="J31" s="60">
        <f t="shared" si="7"/>
        <v>0</v>
      </c>
      <c r="K31" s="60">
        <f t="shared" si="7"/>
        <v>0</v>
      </c>
      <c r="L31" s="60">
        <f t="shared" si="7"/>
        <v>0</v>
      </c>
      <c r="M31" s="60">
        <f t="shared" si="7"/>
        <v>0</v>
      </c>
      <c r="N31" s="60">
        <f t="shared" si="7"/>
        <v>0</v>
      </c>
      <c r="O31" s="60">
        <f t="shared" si="7"/>
        <v>0</v>
      </c>
      <c r="P31" s="60">
        <f t="shared" si="7"/>
        <v>0</v>
      </c>
      <c r="Q31" s="60">
        <f t="shared" si="7"/>
        <v>0</v>
      </c>
      <c r="R31" s="60">
        <f t="shared" si="7"/>
        <v>0</v>
      </c>
      <c r="S31" s="60">
        <f t="shared" si="7"/>
        <v>0</v>
      </c>
      <c r="T31" s="60">
        <f t="shared" si="7"/>
        <v>0</v>
      </c>
      <c r="AG31" s="6"/>
      <c r="AH31" s="6"/>
      <c r="AI31" s="6"/>
      <c r="AJ31" s="6"/>
      <c r="AK31" s="6"/>
      <c r="AL31" s="6"/>
      <c r="AM31" s="6"/>
      <c r="AN31" s="1"/>
    </row>
    <row r="32" spans="1:40" s="24" customFormat="1" ht="314.25" customHeight="1" x14ac:dyDescent="0.4">
      <c r="A32" s="225">
        <v>1517325</v>
      </c>
      <c r="B32" s="180"/>
      <c r="C32" s="68">
        <v>3142</v>
      </c>
      <c r="D32" s="69"/>
      <c r="E32" s="37" t="s">
        <v>117</v>
      </c>
      <c r="F32" s="53">
        <f t="shared" si="0"/>
        <v>700000</v>
      </c>
      <c r="G32" s="72">
        <v>700000</v>
      </c>
      <c r="H32" s="72"/>
      <c r="I32" s="72"/>
      <c r="J32" s="75">
        <f t="shared" ref="J32:J35" si="8">K32+L32+M32</f>
        <v>0</v>
      </c>
      <c r="K32" s="72"/>
      <c r="L32" s="72"/>
      <c r="M32" s="72"/>
      <c r="N32" s="74">
        <f t="shared" ref="N32:N35" si="9">O32+P32+Q32</f>
        <v>0</v>
      </c>
      <c r="O32" s="72"/>
      <c r="P32" s="72"/>
      <c r="Q32" s="72"/>
      <c r="R32" s="72"/>
      <c r="S32" s="72"/>
      <c r="T32" s="72">
        <f>J32-N32</f>
        <v>0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/>
      <c r="AH32" s="20"/>
      <c r="AI32" s="20"/>
      <c r="AJ32" s="20"/>
      <c r="AK32" s="20"/>
      <c r="AL32" s="20"/>
      <c r="AM32" s="20"/>
      <c r="AN32" s="21"/>
    </row>
    <row r="33" spans="1:247" s="24" customFormat="1" ht="213" hidden="1" customHeight="1" x14ac:dyDescent="0.4">
      <c r="A33" s="226"/>
      <c r="B33" s="180"/>
      <c r="C33" s="68">
        <v>3142</v>
      </c>
      <c r="D33" s="69">
        <v>422</v>
      </c>
      <c r="E33" s="123"/>
      <c r="F33" s="53">
        <f t="shared" si="0"/>
        <v>0</v>
      </c>
      <c r="G33" s="72"/>
      <c r="H33" s="72"/>
      <c r="I33" s="72"/>
      <c r="J33" s="75">
        <f t="shared" si="8"/>
        <v>0</v>
      </c>
      <c r="K33" s="72"/>
      <c r="L33" s="72"/>
      <c r="M33" s="72"/>
      <c r="N33" s="74">
        <f t="shared" si="9"/>
        <v>0</v>
      </c>
      <c r="O33" s="72"/>
      <c r="P33" s="72"/>
      <c r="Q33" s="72"/>
      <c r="R33" s="72"/>
      <c r="S33" s="72"/>
      <c r="T33" s="72">
        <f t="shared" ref="T33:T35" si="10">J33-N33</f>
        <v>0</v>
      </c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0"/>
      <c r="AH33" s="20"/>
      <c r="AI33" s="20"/>
      <c r="AJ33" s="20"/>
      <c r="AK33" s="20"/>
      <c r="AL33" s="20"/>
      <c r="AM33" s="20"/>
      <c r="AN33" s="21"/>
    </row>
    <row r="34" spans="1:247" s="24" customFormat="1" ht="404.25" customHeight="1" x14ac:dyDescent="0.4">
      <c r="A34" s="226"/>
      <c r="B34" s="180"/>
      <c r="C34" s="68">
        <v>3122</v>
      </c>
      <c r="D34" s="69"/>
      <c r="E34" s="70" t="s">
        <v>118</v>
      </c>
      <c r="F34" s="53">
        <f t="shared" si="0"/>
        <v>5100000</v>
      </c>
      <c r="G34" s="72">
        <v>5100000</v>
      </c>
      <c r="H34" s="72"/>
      <c r="I34" s="72"/>
      <c r="J34" s="75">
        <f t="shared" si="8"/>
        <v>0</v>
      </c>
      <c r="K34" s="72"/>
      <c r="L34" s="72"/>
      <c r="M34" s="72"/>
      <c r="N34" s="74">
        <f t="shared" si="9"/>
        <v>0</v>
      </c>
      <c r="O34" s="72"/>
      <c r="P34" s="72"/>
      <c r="Q34" s="72"/>
      <c r="R34" s="72"/>
      <c r="S34" s="72"/>
      <c r="T34" s="72">
        <f t="shared" si="10"/>
        <v>0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0"/>
      <c r="AH34" s="20"/>
      <c r="AI34" s="20"/>
      <c r="AJ34" s="20"/>
      <c r="AK34" s="20"/>
      <c r="AL34" s="20"/>
      <c r="AM34" s="20"/>
      <c r="AN34" s="21"/>
    </row>
    <row r="35" spans="1:247" s="24" customFormat="1" ht="162" customHeight="1" x14ac:dyDescent="0.4">
      <c r="A35" s="226"/>
      <c r="B35" s="180"/>
      <c r="C35" s="68">
        <v>3122</v>
      </c>
      <c r="D35" s="69"/>
      <c r="E35" s="70" t="s">
        <v>119</v>
      </c>
      <c r="F35" s="53">
        <f t="shared" si="0"/>
        <v>50000</v>
      </c>
      <c r="G35" s="72">
        <v>50000</v>
      </c>
      <c r="H35" s="72"/>
      <c r="I35" s="72"/>
      <c r="J35" s="75">
        <f t="shared" si="8"/>
        <v>0</v>
      </c>
      <c r="K35" s="72">
        <v>0</v>
      </c>
      <c r="L35" s="72"/>
      <c r="M35" s="72"/>
      <c r="N35" s="74">
        <f t="shared" si="9"/>
        <v>0</v>
      </c>
      <c r="O35" s="72">
        <v>0</v>
      </c>
      <c r="P35" s="72"/>
      <c r="Q35" s="72"/>
      <c r="R35" s="72"/>
      <c r="S35" s="72"/>
      <c r="T35" s="72">
        <f t="shared" si="10"/>
        <v>0</v>
      </c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  <c r="AH35" s="20"/>
      <c r="AI35" s="20"/>
      <c r="AJ35" s="20"/>
      <c r="AK35" s="20"/>
      <c r="AL35" s="20"/>
      <c r="AM35" s="20"/>
      <c r="AN35" s="21"/>
    </row>
    <row r="36" spans="1:247" s="24" customFormat="1" ht="87.75" customHeight="1" x14ac:dyDescent="0.4">
      <c r="A36" s="227"/>
      <c r="B36" s="180"/>
      <c r="C36" s="68"/>
      <c r="D36" s="69"/>
      <c r="E36" s="70"/>
      <c r="F36" s="53"/>
      <c r="G36" s="72"/>
      <c r="H36" s="72"/>
      <c r="I36" s="72"/>
      <c r="J36" s="75"/>
      <c r="K36" s="72"/>
      <c r="L36" s="72"/>
      <c r="M36" s="72"/>
      <c r="N36" s="74"/>
      <c r="O36" s="72"/>
      <c r="P36" s="72"/>
      <c r="Q36" s="72"/>
      <c r="R36" s="72"/>
      <c r="S36" s="72"/>
      <c r="T36" s="72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0"/>
      <c r="AH36" s="20"/>
      <c r="AI36" s="20"/>
      <c r="AJ36" s="20"/>
      <c r="AK36" s="20"/>
      <c r="AL36" s="20"/>
      <c r="AM36" s="20"/>
      <c r="AN36" s="21"/>
    </row>
    <row r="37" spans="1:247" ht="69" customHeight="1" x14ac:dyDescent="0.4">
      <c r="A37" s="66" t="s">
        <v>38</v>
      </c>
      <c r="B37" s="66"/>
      <c r="C37" s="66"/>
      <c r="D37" s="67"/>
      <c r="E37" s="60"/>
      <c r="F37" s="94">
        <f t="shared" si="0"/>
        <v>5850000</v>
      </c>
      <c r="G37" s="60">
        <f t="shared" ref="G37:T37" si="11">SUM(G32:G35)</f>
        <v>5850000</v>
      </c>
      <c r="H37" s="60">
        <f t="shared" si="11"/>
        <v>0</v>
      </c>
      <c r="I37" s="60">
        <f t="shared" si="11"/>
        <v>0</v>
      </c>
      <c r="J37" s="60">
        <f t="shared" si="11"/>
        <v>0</v>
      </c>
      <c r="K37" s="60">
        <f t="shared" si="11"/>
        <v>0</v>
      </c>
      <c r="L37" s="60">
        <f t="shared" si="11"/>
        <v>0</v>
      </c>
      <c r="M37" s="60">
        <f t="shared" si="11"/>
        <v>0</v>
      </c>
      <c r="N37" s="60">
        <f t="shared" si="11"/>
        <v>0</v>
      </c>
      <c r="O37" s="60">
        <f t="shared" si="11"/>
        <v>0</v>
      </c>
      <c r="P37" s="60">
        <f t="shared" si="11"/>
        <v>0</v>
      </c>
      <c r="Q37" s="60">
        <f t="shared" si="11"/>
        <v>0</v>
      </c>
      <c r="R37" s="60">
        <f t="shared" si="11"/>
        <v>0</v>
      </c>
      <c r="S37" s="60">
        <f t="shared" si="11"/>
        <v>0</v>
      </c>
      <c r="T37" s="60">
        <f t="shared" si="11"/>
        <v>0</v>
      </c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</row>
    <row r="38" spans="1:247" s="28" customFormat="1" ht="279" customHeight="1" x14ac:dyDescent="0.4">
      <c r="A38" s="263">
        <v>1517330</v>
      </c>
      <c r="B38" s="181"/>
      <c r="C38" s="77">
        <v>3122</v>
      </c>
      <c r="D38" s="78">
        <v>429</v>
      </c>
      <c r="E38" s="38" t="s">
        <v>120</v>
      </c>
      <c r="F38" s="53">
        <f t="shared" si="0"/>
        <v>150000</v>
      </c>
      <c r="G38" s="79">
        <v>150000</v>
      </c>
      <c r="H38" s="79"/>
      <c r="I38" s="79"/>
      <c r="J38" s="125">
        <v>0</v>
      </c>
      <c r="K38" s="79"/>
      <c r="L38" s="79">
        <v>0</v>
      </c>
      <c r="M38" s="79"/>
      <c r="N38" s="80">
        <v>0</v>
      </c>
      <c r="O38" s="79"/>
      <c r="P38" s="79"/>
      <c r="Q38" s="81"/>
      <c r="R38" s="79"/>
      <c r="S38" s="79"/>
      <c r="T38" s="79">
        <v>0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7"/>
      <c r="AL38" s="27"/>
      <c r="AM38" s="27"/>
    </row>
    <row r="39" spans="1:247" s="28" customFormat="1" ht="319.5" customHeight="1" x14ac:dyDescent="0.4">
      <c r="A39" s="264"/>
      <c r="B39" s="181"/>
      <c r="C39" s="77">
        <v>3142</v>
      </c>
      <c r="D39" s="78"/>
      <c r="E39" s="38" t="s">
        <v>133</v>
      </c>
      <c r="F39" s="53">
        <f t="shared" si="0"/>
        <v>1000000</v>
      </c>
      <c r="G39" s="79">
        <v>1000000</v>
      </c>
      <c r="H39" s="79"/>
      <c r="I39" s="79"/>
      <c r="J39" s="125">
        <v>0</v>
      </c>
      <c r="K39" s="79"/>
      <c r="L39" s="79"/>
      <c r="M39" s="79"/>
      <c r="N39" s="80">
        <v>0</v>
      </c>
      <c r="O39" s="79"/>
      <c r="P39" s="79"/>
      <c r="Q39" s="81"/>
      <c r="R39" s="79"/>
      <c r="S39" s="79"/>
      <c r="T39" s="79">
        <v>0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7"/>
      <c r="AL39" s="27"/>
      <c r="AM39" s="27"/>
    </row>
    <row r="40" spans="1:247" s="28" customFormat="1" ht="71.25" customHeight="1" x14ac:dyDescent="0.4">
      <c r="A40" s="265"/>
      <c r="B40" s="181"/>
      <c r="C40" s="77"/>
      <c r="D40" s="78"/>
      <c r="E40" s="35"/>
      <c r="F40" s="53">
        <f t="shared" si="0"/>
        <v>0</v>
      </c>
      <c r="G40" s="79"/>
      <c r="H40" s="79"/>
      <c r="I40" s="79"/>
      <c r="J40" s="125">
        <v>0</v>
      </c>
      <c r="K40" s="79"/>
      <c r="L40" s="79"/>
      <c r="M40" s="79"/>
      <c r="N40" s="80">
        <v>0</v>
      </c>
      <c r="O40" s="79"/>
      <c r="P40" s="79"/>
      <c r="Q40" s="81"/>
      <c r="R40" s="79"/>
      <c r="S40" s="79"/>
      <c r="T40" s="79">
        <v>0</v>
      </c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7"/>
      <c r="AL40" s="27"/>
      <c r="AM40" s="27"/>
    </row>
    <row r="41" spans="1:247" s="18" customFormat="1" ht="57.75" customHeight="1" x14ac:dyDescent="0.4">
      <c r="A41" s="172" t="s">
        <v>40</v>
      </c>
      <c r="B41" s="172"/>
      <c r="C41" s="172"/>
      <c r="D41" s="172"/>
      <c r="E41" s="172"/>
      <c r="F41" s="94">
        <f t="shared" si="0"/>
        <v>1150000</v>
      </c>
      <c r="G41" s="157">
        <f t="shared" ref="G41:T41" si="12">SUM(G38:G40)</f>
        <v>1150000</v>
      </c>
      <c r="H41" s="157">
        <f t="shared" si="12"/>
        <v>0</v>
      </c>
      <c r="I41" s="157">
        <f t="shared" si="12"/>
        <v>0</v>
      </c>
      <c r="J41" s="157">
        <f t="shared" si="12"/>
        <v>0</v>
      </c>
      <c r="K41" s="157">
        <f t="shared" si="12"/>
        <v>0</v>
      </c>
      <c r="L41" s="157">
        <f t="shared" si="12"/>
        <v>0</v>
      </c>
      <c r="M41" s="157">
        <f t="shared" si="12"/>
        <v>0</v>
      </c>
      <c r="N41" s="157">
        <f t="shared" si="12"/>
        <v>0</v>
      </c>
      <c r="O41" s="157">
        <f t="shared" si="12"/>
        <v>0</v>
      </c>
      <c r="P41" s="157">
        <f t="shared" si="12"/>
        <v>0</v>
      </c>
      <c r="Q41" s="157">
        <f t="shared" si="12"/>
        <v>0</v>
      </c>
      <c r="R41" s="157">
        <f t="shared" si="12"/>
        <v>0</v>
      </c>
      <c r="S41" s="157">
        <f t="shared" si="12"/>
        <v>0</v>
      </c>
      <c r="T41" s="157">
        <f t="shared" si="12"/>
        <v>0</v>
      </c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7"/>
      <c r="AH41" s="17"/>
      <c r="AI41" s="17"/>
      <c r="AJ41" s="17"/>
      <c r="AK41" s="17"/>
      <c r="AL41" s="17"/>
      <c r="AM41" s="17"/>
    </row>
    <row r="42" spans="1:247" s="28" customFormat="1" ht="274.5" customHeight="1" x14ac:dyDescent="0.4">
      <c r="A42" s="259">
        <v>1517340</v>
      </c>
      <c r="B42" s="266"/>
      <c r="C42" s="68">
        <v>3143</v>
      </c>
      <c r="D42" s="168"/>
      <c r="E42" s="169" t="s">
        <v>125</v>
      </c>
      <c r="F42" s="53">
        <f t="shared" si="0"/>
        <v>500000</v>
      </c>
      <c r="G42" s="72">
        <v>500000</v>
      </c>
      <c r="H42" s="104"/>
      <c r="I42" s="104"/>
      <c r="J42" s="158"/>
      <c r="K42" s="104"/>
      <c r="L42" s="104"/>
      <c r="M42" s="104"/>
      <c r="N42" s="159"/>
      <c r="O42" s="104"/>
      <c r="P42" s="104"/>
      <c r="Q42" s="104"/>
      <c r="R42" s="104"/>
      <c r="S42" s="104"/>
      <c r="T42" s="104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7"/>
      <c r="AH42" s="27"/>
      <c r="AI42" s="27"/>
      <c r="AJ42" s="27"/>
      <c r="AK42" s="27"/>
      <c r="AL42" s="27"/>
      <c r="AM42" s="27"/>
    </row>
    <row r="43" spans="1:247" s="28" customFormat="1" ht="180" customHeight="1" x14ac:dyDescent="0.4">
      <c r="A43" s="260"/>
      <c r="B43" s="266"/>
      <c r="C43" s="68">
        <v>3143</v>
      </c>
      <c r="D43" s="168"/>
      <c r="E43" s="169" t="s">
        <v>126</v>
      </c>
      <c r="F43" s="53">
        <f>G43+H43+I43</f>
        <v>50000</v>
      </c>
      <c r="G43" s="72">
        <v>50000</v>
      </c>
      <c r="H43" s="104"/>
      <c r="I43" s="104"/>
      <c r="J43" s="158"/>
      <c r="K43" s="104"/>
      <c r="L43" s="104"/>
      <c r="M43" s="104"/>
      <c r="N43" s="159"/>
      <c r="O43" s="104"/>
      <c r="P43" s="104"/>
      <c r="Q43" s="104"/>
      <c r="R43" s="104"/>
      <c r="S43" s="104"/>
      <c r="T43" s="104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7"/>
      <c r="AH43" s="27"/>
      <c r="AI43" s="27"/>
      <c r="AJ43" s="27"/>
      <c r="AK43" s="27"/>
      <c r="AL43" s="27"/>
      <c r="AM43" s="27"/>
    </row>
    <row r="44" spans="1:247" s="28" customFormat="1" ht="327" customHeight="1" x14ac:dyDescent="0.4">
      <c r="A44" s="261"/>
      <c r="B44" s="182"/>
      <c r="C44" s="68">
        <v>3143</v>
      </c>
      <c r="D44" s="168"/>
      <c r="E44" s="169" t="s">
        <v>134</v>
      </c>
      <c r="F44" s="53">
        <f>G44+H44+I44</f>
        <v>10000</v>
      </c>
      <c r="G44" s="72">
        <v>10000</v>
      </c>
      <c r="H44" s="104"/>
      <c r="I44" s="104"/>
      <c r="J44" s="158"/>
      <c r="K44" s="104"/>
      <c r="L44" s="104"/>
      <c r="M44" s="104"/>
      <c r="N44" s="159"/>
      <c r="O44" s="104"/>
      <c r="P44" s="104"/>
      <c r="Q44" s="104"/>
      <c r="R44" s="104"/>
      <c r="S44" s="104"/>
      <c r="T44" s="104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7"/>
      <c r="AH44" s="27"/>
      <c r="AI44" s="27"/>
      <c r="AJ44" s="27"/>
      <c r="AK44" s="27"/>
      <c r="AL44" s="27"/>
      <c r="AM44" s="27"/>
    </row>
    <row r="45" spans="1:247" s="18" customFormat="1" ht="57.75" customHeight="1" x14ac:dyDescent="0.4">
      <c r="A45" s="170" t="s">
        <v>123</v>
      </c>
      <c r="B45" s="170"/>
      <c r="C45" s="170"/>
      <c r="D45" s="170"/>
      <c r="E45" s="170"/>
      <c r="F45" s="94">
        <f t="shared" si="0"/>
        <v>560000</v>
      </c>
      <c r="G45" s="171">
        <f>SUM(G42:G44)</f>
        <v>560000</v>
      </c>
      <c r="H45" s="171">
        <f t="shared" ref="H45:I45" si="13">SUM(H42:H44)</f>
        <v>0</v>
      </c>
      <c r="I45" s="171">
        <f t="shared" si="13"/>
        <v>0</v>
      </c>
      <c r="J45" s="171">
        <f t="shared" ref="J45:T45" si="14">SUM(J41:J43)</f>
        <v>0</v>
      </c>
      <c r="K45" s="171">
        <f t="shared" si="14"/>
        <v>0</v>
      </c>
      <c r="L45" s="171">
        <f t="shared" si="14"/>
        <v>0</v>
      </c>
      <c r="M45" s="171">
        <f t="shared" si="14"/>
        <v>0</v>
      </c>
      <c r="N45" s="171">
        <f t="shared" si="14"/>
        <v>0</v>
      </c>
      <c r="O45" s="171">
        <f t="shared" si="14"/>
        <v>0</v>
      </c>
      <c r="P45" s="171">
        <f t="shared" si="14"/>
        <v>0</v>
      </c>
      <c r="Q45" s="171">
        <f t="shared" si="14"/>
        <v>0</v>
      </c>
      <c r="R45" s="171">
        <f t="shared" si="14"/>
        <v>0</v>
      </c>
      <c r="S45" s="171">
        <f t="shared" si="14"/>
        <v>0</v>
      </c>
      <c r="T45" s="171">
        <f t="shared" si="14"/>
        <v>0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17"/>
      <c r="AH45" s="17"/>
      <c r="AI45" s="17"/>
      <c r="AJ45" s="17"/>
      <c r="AK45" s="17"/>
      <c r="AL45" s="17"/>
      <c r="AM45" s="17"/>
    </row>
    <row r="46" spans="1:247" s="7" customFormat="1" ht="222.75" customHeight="1" x14ac:dyDescent="0.4">
      <c r="A46" s="192">
        <v>1517360</v>
      </c>
      <c r="B46" s="210">
        <v>1517361</v>
      </c>
      <c r="C46" s="64">
        <v>3122</v>
      </c>
      <c r="D46" s="65">
        <v>419</v>
      </c>
      <c r="E46" s="37" t="s">
        <v>121</v>
      </c>
      <c r="F46" s="53">
        <f t="shared" si="0"/>
        <v>3000000</v>
      </c>
      <c r="G46" s="83"/>
      <c r="H46" s="83"/>
      <c r="I46" s="83">
        <v>3000000</v>
      </c>
      <c r="J46" s="56">
        <f>SUM(K46+L46+M46)</f>
        <v>0</v>
      </c>
      <c r="K46" s="85"/>
      <c r="L46" s="85"/>
      <c r="M46" s="83"/>
      <c r="N46" s="57">
        <f>O46+P46+Q46</f>
        <v>0</v>
      </c>
      <c r="O46" s="85"/>
      <c r="P46" s="85"/>
      <c r="Q46" s="83"/>
      <c r="R46" s="85"/>
      <c r="S46" s="85"/>
      <c r="T46" s="55">
        <f>J46-N46</f>
        <v>0</v>
      </c>
      <c r="AG46" s="6"/>
      <c r="AH46" s="6"/>
      <c r="AI46" s="6"/>
      <c r="AJ46" s="6"/>
      <c r="AK46" s="6"/>
      <c r="AL46" s="6"/>
      <c r="AM46" s="6"/>
      <c r="AN46" s="1"/>
    </row>
    <row r="47" spans="1:247" s="7" customFormat="1" ht="0.75" customHeight="1" x14ac:dyDescent="0.4">
      <c r="A47" s="190"/>
      <c r="B47" s="211"/>
      <c r="C47" s="64"/>
      <c r="D47" s="65">
        <v>426</v>
      </c>
      <c r="E47" s="37"/>
      <c r="F47" s="53">
        <f t="shared" si="0"/>
        <v>0</v>
      </c>
      <c r="G47" s="83"/>
      <c r="H47" s="83"/>
      <c r="I47" s="83"/>
      <c r="J47" s="84">
        <f t="shared" ref="J47:J55" si="15">SUM(K47+L47+M47)</f>
        <v>0</v>
      </c>
      <c r="K47" s="85"/>
      <c r="L47" s="85"/>
      <c r="M47" s="83"/>
      <c r="N47" s="86">
        <f t="shared" ref="N47:N55" si="16">O47+P47+Q47</f>
        <v>0</v>
      </c>
      <c r="O47" s="85"/>
      <c r="P47" s="85"/>
      <c r="Q47" s="83"/>
      <c r="R47" s="85"/>
      <c r="S47" s="85"/>
      <c r="T47" s="55">
        <f t="shared" ref="T47:T55" si="17">J47-N47</f>
        <v>0</v>
      </c>
      <c r="AG47" s="6"/>
      <c r="AH47" s="6"/>
      <c r="AI47" s="6"/>
      <c r="AJ47" s="6"/>
      <c r="AK47" s="6"/>
      <c r="AL47" s="6"/>
      <c r="AM47" s="6"/>
      <c r="AN47" s="1"/>
    </row>
    <row r="48" spans="1:247" s="7" customFormat="1" ht="235.5" customHeight="1" x14ac:dyDescent="0.4">
      <c r="A48" s="190"/>
      <c r="B48" s="211"/>
      <c r="C48" s="64">
        <v>3142</v>
      </c>
      <c r="D48" s="65"/>
      <c r="E48" s="37" t="s">
        <v>135</v>
      </c>
      <c r="F48" s="53">
        <f t="shared" si="0"/>
        <v>1670148</v>
      </c>
      <c r="G48" s="83">
        <v>1670148</v>
      </c>
      <c r="H48" s="83"/>
      <c r="I48" s="83"/>
      <c r="J48" s="183">
        <f t="shared" si="15"/>
        <v>0</v>
      </c>
      <c r="K48" s="85"/>
      <c r="L48" s="85"/>
      <c r="M48" s="83"/>
      <c r="N48" s="57">
        <f t="shared" si="16"/>
        <v>0</v>
      </c>
      <c r="O48" s="85"/>
      <c r="P48" s="85"/>
      <c r="Q48" s="83"/>
      <c r="R48" s="85"/>
      <c r="S48" s="85"/>
      <c r="T48" s="55">
        <f t="shared" si="17"/>
        <v>0</v>
      </c>
      <c r="AG48" s="6"/>
      <c r="AH48" s="6"/>
      <c r="AI48" s="6"/>
      <c r="AJ48" s="6"/>
      <c r="AK48" s="6"/>
      <c r="AL48" s="6"/>
      <c r="AM48" s="6"/>
      <c r="AN48" s="1"/>
    </row>
    <row r="49" spans="1:40" s="7" customFormat="1" ht="409.6" customHeight="1" x14ac:dyDescent="0.4">
      <c r="A49" s="190"/>
      <c r="B49" s="211"/>
      <c r="C49" s="64">
        <v>3132</v>
      </c>
      <c r="D49" s="65">
        <v>414</v>
      </c>
      <c r="E49" s="185" t="s">
        <v>136</v>
      </c>
      <c r="F49" s="53">
        <f t="shared" si="0"/>
        <v>10000</v>
      </c>
      <c r="G49" s="83">
        <v>10000</v>
      </c>
      <c r="H49" s="83"/>
      <c r="I49" s="83"/>
      <c r="J49" s="56">
        <f t="shared" si="15"/>
        <v>0</v>
      </c>
      <c r="K49" s="83"/>
      <c r="L49" s="85"/>
      <c r="M49" s="83"/>
      <c r="N49" s="57">
        <f t="shared" si="16"/>
        <v>0</v>
      </c>
      <c r="O49" s="83"/>
      <c r="P49" s="85"/>
      <c r="Q49" s="83"/>
      <c r="R49" s="85"/>
      <c r="S49" s="85"/>
      <c r="T49" s="55">
        <f t="shared" si="17"/>
        <v>0</v>
      </c>
      <c r="AG49" s="6"/>
      <c r="AH49" s="6"/>
      <c r="AI49" s="6"/>
      <c r="AJ49" s="6"/>
      <c r="AK49" s="6"/>
      <c r="AL49" s="6"/>
      <c r="AM49" s="6"/>
      <c r="AN49" s="1"/>
    </row>
    <row r="50" spans="1:40" s="7" customFormat="1" ht="256.5" customHeight="1" x14ac:dyDescent="0.4">
      <c r="A50" s="190"/>
      <c r="B50" s="211"/>
      <c r="C50" s="64">
        <v>3142</v>
      </c>
      <c r="D50" s="65">
        <v>425</v>
      </c>
      <c r="E50" s="37" t="s">
        <v>137</v>
      </c>
      <c r="F50" s="53">
        <f t="shared" si="0"/>
        <v>1240443</v>
      </c>
      <c r="G50" s="83"/>
      <c r="H50" s="83"/>
      <c r="I50" s="83">
        <v>1240443</v>
      </c>
      <c r="J50" s="56">
        <f t="shared" si="15"/>
        <v>0</v>
      </c>
      <c r="K50" s="85"/>
      <c r="L50" s="85"/>
      <c r="M50" s="85"/>
      <c r="N50" s="57">
        <f t="shared" si="16"/>
        <v>0</v>
      </c>
      <c r="O50" s="85"/>
      <c r="P50" s="85"/>
      <c r="Q50" s="85"/>
      <c r="R50" s="85"/>
      <c r="S50" s="85"/>
      <c r="T50" s="55">
        <f t="shared" si="17"/>
        <v>0</v>
      </c>
      <c r="AG50" s="6"/>
      <c r="AH50" s="6"/>
      <c r="AI50" s="6"/>
      <c r="AJ50" s="6"/>
      <c r="AK50" s="6"/>
      <c r="AL50" s="6"/>
      <c r="AM50" s="6"/>
      <c r="AN50" s="1"/>
    </row>
    <row r="51" spans="1:40" s="7" customFormat="1" ht="365.25" customHeight="1" x14ac:dyDescent="0.4">
      <c r="A51" s="190"/>
      <c r="B51" s="211"/>
      <c r="C51" s="64">
        <v>3132</v>
      </c>
      <c r="D51" s="65"/>
      <c r="E51" s="37" t="s">
        <v>138</v>
      </c>
      <c r="F51" s="53">
        <f t="shared" si="0"/>
        <v>1150000</v>
      </c>
      <c r="G51" s="83"/>
      <c r="H51" s="83"/>
      <c r="I51" s="83">
        <v>1150000</v>
      </c>
      <c r="J51" s="56">
        <f t="shared" si="15"/>
        <v>0</v>
      </c>
      <c r="K51" s="83"/>
      <c r="L51" s="85"/>
      <c r="M51" s="83"/>
      <c r="N51" s="57">
        <f t="shared" si="16"/>
        <v>0</v>
      </c>
      <c r="O51" s="83"/>
      <c r="P51" s="83"/>
      <c r="Q51" s="83"/>
      <c r="R51" s="85"/>
      <c r="S51" s="85"/>
      <c r="T51" s="55">
        <f>J51-N51</f>
        <v>0</v>
      </c>
      <c r="AG51" s="6"/>
      <c r="AH51" s="6"/>
      <c r="AI51" s="6"/>
      <c r="AJ51" s="6"/>
      <c r="AK51" s="6"/>
      <c r="AL51" s="6"/>
      <c r="AM51" s="6"/>
      <c r="AN51" s="1"/>
    </row>
    <row r="52" spans="1:40" s="7" customFormat="1" ht="242.25" customHeight="1" x14ac:dyDescent="0.4">
      <c r="A52" s="190"/>
      <c r="B52" s="211"/>
      <c r="C52" s="64">
        <v>3142</v>
      </c>
      <c r="D52" s="65">
        <v>420</v>
      </c>
      <c r="E52" s="87" t="s">
        <v>122</v>
      </c>
      <c r="F52" s="53">
        <f t="shared" si="0"/>
        <v>7169852</v>
      </c>
      <c r="G52" s="83">
        <v>7169852</v>
      </c>
      <c r="H52" s="83"/>
      <c r="I52" s="83"/>
      <c r="J52" s="56">
        <f t="shared" si="15"/>
        <v>0</v>
      </c>
      <c r="K52" s="83"/>
      <c r="L52" s="83"/>
      <c r="M52" s="83"/>
      <c r="N52" s="57">
        <f t="shared" si="16"/>
        <v>0</v>
      </c>
      <c r="O52" s="85"/>
      <c r="P52" s="85"/>
      <c r="Q52" s="83"/>
      <c r="R52" s="85"/>
      <c r="S52" s="85"/>
      <c r="T52" s="55">
        <f t="shared" si="17"/>
        <v>0</v>
      </c>
      <c r="AG52" s="6"/>
      <c r="AH52" s="6"/>
      <c r="AI52" s="6"/>
      <c r="AJ52" s="6"/>
      <c r="AK52" s="6"/>
      <c r="AL52" s="6"/>
      <c r="AM52" s="6"/>
      <c r="AN52" s="1"/>
    </row>
    <row r="53" spans="1:40" s="7" customFormat="1" ht="46.5" customHeight="1" x14ac:dyDescent="0.4">
      <c r="A53" s="190"/>
      <c r="B53" s="211"/>
      <c r="C53" s="64"/>
      <c r="D53" s="65">
        <v>424</v>
      </c>
      <c r="E53" s="37"/>
      <c r="F53" s="53">
        <f t="shared" si="0"/>
        <v>0</v>
      </c>
      <c r="G53" s="83"/>
      <c r="H53" s="83"/>
      <c r="I53" s="83"/>
      <c r="J53" s="184">
        <f t="shared" si="15"/>
        <v>0</v>
      </c>
      <c r="K53" s="85"/>
      <c r="L53" s="85"/>
      <c r="M53" s="83"/>
      <c r="N53" s="57">
        <f t="shared" si="16"/>
        <v>0</v>
      </c>
      <c r="O53" s="85"/>
      <c r="P53" s="85"/>
      <c r="Q53" s="83"/>
      <c r="R53" s="85"/>
      <c r="S53" s="85"/>
      <c r="T53" s="55">
        <f t="shared" si="17"/>
        <v>0</v>
      </c>
      <c r="AG53" s="6"/>
      <c r="AH53" s="6"/>
      <c r="AI53" s="6"/>
      <c r="AJ53" s="6"/>
      <c r="AK53" s="6"/>
      <c r="AL53" s="6"/>
      <c r="AM53" s="6"/>
      <c r="AN53" s="1"/>
    </row>
    <row r="54" spans="1:40" s="7" customFormat="1" ht="99" customHeight="1" x14ac:dyDescent="0.4">
      <c r="A54" s="190"/>
      <c r="B54" s="211"/>
      <c r="C54" s="64"/>
      <c r="D54" s="65">
        <v>418</v>
      </c>
      <c r="E54" s="37"/>
      <c r="F54" s="53">
        <f t="shared" si="0"/>
        <v>0</v>
      </c>
      <c r="G54" s="83"/>
      <c r="H54" s="83"/>
      <c r="I54" s="83"/>
      <c r="J54" s="56">
        <f t="shared" si="15"/>
        <v>0</v>
      </c>
      <c r="K54" s="85"/>
      <c r="L54" s="85"/>
      <c r="M54" s="83"/>
      <c r="N54" s="57">
        <f t="shared" si="16"/>
        <v>0</v>
      </c>
      <c r="O54" s="85"/>
      <c r="P54" s="85"/>
      <c r="Q54" s="85"/>
      <c r="R54" s="85"/>
      <c r="S54" s="85"/>
      <c r="T54" s="55">
        <f t="shared" si="17"/>
        <v>0</v>
      </c>
      <c r="AG54" s="6"/>
      <c r="AH54" s="6"/>
      <c r="AI54" s="6"/>
      <c r="AJ54" s="6"/>
      <c r="AK54" s="6"/>
      <c r="AL54" s="6"/>
      <c r="AM54" s="6"/>
      <c r="AN54" s="1"/>
    </row>
    <row r="55" spans="1:40" s="7" customFormat="1" ht="6" customHeight="1" x14ac:dyDescent="0.4">
      <c r="A55" s="190"/>
      <c r="B55" s="212"/>
      <c r="C55" s="64"/>
      <c r="D55" s="65"/>
      <c r="E55" s="37"/>
      <c r="F55" s="53">
        <f t="shared" si="0"/>
        <v>0</v>
      </c>
      <c r="G55" s="83"/>
      <c r="H55" s="83"/>
      <c r="I55" s="83"/>
      <c r="J55" s="84">
        <f t="shared" si="15"/>
        <v>0</v>
      </c>
      <c r="K55" s="85"/>
      <c r="L55" s="85"/>
      <c r="M55" s="85"/>
      <c r="N55" s="86">
        <f t="shared" si="16"/>
        <v>0</v>
      </c>
      <c r="O55" s="85"/>
      <c r="P55" s="85"/>
      <c r="Q55" s="85"/>
      <c r="R55" s="85"/>
      <c r="S55" s="85"/>
      <c r="T55" s="55">
        <f t="shared" si="17"/>
        <v>0</v>
      </c>
      <c r="AG55" s="6"/>
      <c r="AH55" s="6"/>
      <c r="AI55" s="6"/>
      <c r="AJ55" s="6"/>
      <c r="AK55" s="6"/>
      <c r="AL55" s="6"/>
      <c r="AM55" s="6"/>
      <c r="AN55" s="1"/>
    </row>
    <row r="56" spans="1:40" s="7" customFormat="1" ht="155.25" customHeight="1" x14ac:dyDescent="0.4">
      <c r="A56" s="190"/>
      <c r="B56" s="213" t="s">
        <v>42</v>
      </c>
      <c r="C56" s="214"/>
      <c r="D56" s="214"/>
      <c r="E56" s="215"/>
      <c r="F56" s="94">
        <f t="shared" si="0"/>
        <v>14240443</v>
      </c>
      <c r="G56" s="60">
        <f t="shared" ref="G56:T56" si="18">SUM(G46:G55)</f>
        <v>8850000</v>
      </c>
      <c r="H56" s="60">
        <f t="shared" si="18"/>
        <v>0</v>
      </c>
      <c r="I56" s="60">
        <f t="shared" si="18"/>
        <v>5390443</v>
      </c>
      <c r="J56" s="60">
        <f t="shared" si="18"/>
        <v>0</v>
      </c>
      <c r="K56" s="60">
        <f t="shared" si="18"/>
        <v>0</v>
      </c>
      <c r="L56" s="60">
        <f t="shared" si="18"/>
        <v>0</v>
      </c>
      <c r="M56" s="60">
        <f t="shared" si="18"/>
        <v>0</v>
      </c>
      <c r="N56" s="60">
        <f t="shared" si="18"/>
        <v>0</v>
      </c>
      <c r="O56" s="60">
        <f t="shared" si="18"/>
        <v>0</v>
      </c>
      <c r="P56" s="60">
        <f t="shared" si="18"/>
        <v>0</v>
      </c>
      <c r="Q56" s="60">
        <f t="shared" si="18"/>
        <v>0</v>
      </c>
      <c r="R56" s="60">
        <f t="shared" si="18"/>
        <v>0</v>
      </c>
      <c r="S56" s="60">
        <f t="shared" si="18"/>
        <v>0</v>
      </c>
      <c r="T56" s="60">
        <f t="shared" si="18"/>
        <v>0</v>
      </c>
      <c r="AG56" s="6"/>
      <c r="AH56" s="6"/>
      <c r="AI56" s="6"/>
      <c r="AJ56" s="6"/>
      <c r="AK56" s="6"/>
      <c r="AL56" s="6"/>
      <c r="AM56" s="6"/>
      <c r="AN56" s="1"/>
    </row>
    <row r="57" spans="1:40" s="19" customFormat="1" ht="90" customHeight="1" x14ac:dyDescent="0.4">
      <c r="A57" s="190"/>
      <c r="B57" s="216">
        <v>1517363</v>
      </c>
      <c r="C57" s="162"/>
      <c r="D57" s="162"/>
      <c r="E57" s="178"/>
      <c r="F57" s="53">
        <f t="shared" si="0"/>
        <v>0</v>
      </c>
      <c r="G57" s="83"/>
      <c r="H57" s="83"/>
      <c r="I57" s="83"/>
      <c r="J57" s="56">
        <f>SUM(K57+L57+M57)</f>
        <v>0</v>
      </c>
      <c r="K57" s="72"/>
      <c r="L57" s="55"/>
      <c r="M57" s="55"/>
      <c r="N57" s="57">
        <f>SUM(O57+P57)</f>
        <v>0</v>
      </c>
      <c r="O57" s="55"/>
      <c r="P57" s="55"/>
      <c r="Q57" s="55"/>
      <c r="R57" s="88"/>
      <c r="S57" s="88"/>
      <c r="T57" s="55">
        <f>J57-N57</f>
        <v>0</v>
      </c>
      <c r="AG57" s="20"/>
      <c r="AH57" s="20"/>
      <c r="AI57" s="20"/>
      <c r="AJ57" s="20"/>
      <c r="AK57" s="20"/>
      <c r="AL57" s="20"/>
      <c r="AM57" s="20"/>
      <c r="AN57" s="21"/>
    </row>
    <row r="58" spans="1:40" s="19" customFormat="1" ht="47.25" customHeight="1" x14ac:dyDescent="0.4">
      <c r="A58" s="190"/>
      <c r="B58" s="217"/>
      <c r="C58" s="162"/>
      <c r="D58" s="143"/>
      <c r="E58" s="37"/>
      <c r="F58" s="53">
        <f t="shared" si="0"/>
        <v>0</v>
      </c>
      <c r="G58" s="83"/>
      <c r="H58" s="83"/>
      <c r="I58" s="83"/>
      <c r="J58" s="56">
        <f>SUM(K58+L58+M58)</f>
        <v>0</v>
      </c>
      <c r="K58" s="72"/>
      <c r="L58" s="55"/>
      <c r="M58" s="55"/>
      <c r="N58" s="57">
        <f>SUM(O58+P58)</f>
        <v>0</v>
      </c>
      <c r="O58" s="55"/>
      <c r="P58" s="55"/>
      <c r="Q58" s="55"/>
      <c r="R58" s="88"/>
      <c r="S58" s="88"/>
      <c r="T58" s="55">
        <f>J58-N58</f>
        <v>0</v>
      </c>
      <c r="AG58" s="20"/>
      <c r="AH58" s="20"/>
      <c r="AI58" s="20"/>
      <c r="AJ58" s="20"/>
      <c r="AK58" s="20"/>
      <c r="AL58" s="20"/>
      <c r="AM58" s="20"/>
      <c r="AN58" s="21"/>
    </row>
    <row r="59" spans="1:40" s="19" customFormat="1" ht="138" customHeight="1" x14ac:dyDescent="0.4">
      <c r="A59" s="190"/>
      <c r="B59" s="213" t="s">
        <v>43</v>
      </c>
      <c r="C59" s="214"/>
      <c r="D59" s="214"/>
      <c r="E59" s="215"/>
      <c r="F59" s="94">
        <f t="shared" si="0"/>
        <v>0</v>
      </c>
      <c r="G59" s="60">
        <f t="shared" ref="G59:T59" si="19">SUM(G57:G58)</f>
        <v>0</v>
      </c>
      <c r="H59" s="60">
        <f t="shared" si="19"/>
        <v>0</v>
      </c>
      <c r="I59" s="60">
        <f t="shared" si="19"/>
        <v>0</v>
      </c>
      <c r="J59" s="60">
        <f t="shared" si="19"/>
        <v>0</v>
      </c>
      <c r="K59" s="60">
        <f t="shared" si="19"/>
        <v>0</v>
      </c>
      <c r="L59" s="60">
        <f t="shared" si="19"/>
        <v>0</v>
      </c>
      <c r="M59" s="60">
        <f t="shared" si="19"/>
        <v>0</v>
      </c>
      <c r="N59" s="60">
        <f t="shared" si="19"/>
        <v>0</v>
      </c>
      <c r="O59" s="60">
        <f t="shared" si="19"/>
        <v>0</v>
      </c>
      <c r="P59" s="60">
        <f t="shared" si="19"/>
        <v>0</v>
      </c>
      <c r="Q59" s="60">
        <f t="shared" si="19"/>
        <v>0</v>
      </c>
      <c r="R59" s="60">
        <f t="shared" si="19"/>
        <v>0</v>
      </c>
      <c r="S59" s="60">
        <f t="shared" si="19"/>
        <v>0</v>
      </c>
      <c r="T59" s="60">
        <f t="shared" si="19"/>
        <v>0</v>
      </c>
      <c r="AG59" s="20"/>
      <c r="AH59" s="20"/>
      <c r="AI59" s="20"/>
      <c r="AJ59" s="20"/>
      <c r="AK59" s="20"/>
      <c r="AL59" s="20"/>
      <c r="AM59" s="20"/>
      <c r="AN59" s="21"/>
    </row>
    <row r="60" spans="1:40" s="7" customFormat="1" ht="87.75" customHeight="1" x14ac:dyDescent="0.4">
      <c r="A60" s="190"/>
      <c r="B60" s="163">
        <v>1517367</v>
      </c>
      <c r="C60" s="90">
        <v>3122</v>
      </c>
      <c r="D60" s="91"/>
      <c r="E60" s="37"/>
      <c r="F60" s="53">
        <f t="shared" si="0"/>
        <v>0</v>
      </c>
      <c r="G60" s="83"/>
      <c r="H60" s="83"/>
      <c r="I60" s="83"/>
      <c r="J60" s="56">
        <f>SUM(K60+L60+M60)</f>
        <v>0</v>
      </c>
      <c r="K60" s="92"/>
      <c r="L60" s="92"/>
      <c r="M60" s="92"/>
      <c r="N60" s="57">
        <f>SUM(O60+P60+Q60)</f>
        <v>0</v>
      </c>
      <c r="O60" s="92"/>
      <c r="P60" s="92"/>
      <c r="Q60" s="92"/>
      <c r="R60" s="173"/>
      <c r="S60" s="173"/>
      <c r="T60" s="55">
        <f>J60-N60</f>
        <v>0</v>
      </c>
      <c r="AG60" s="6"/>
      <c r="AH60" s="6"/>
      <c r="AI60" s="6"/>
      <c r="AJ60" s="6"/>
      <c r="AK60" s="6"/>
      <c r="AL60" s="6"/>
      <c r="AM60" s="6"/>
      <c r="AN60" s="1"/>
    </row>
    <row r="61" spans="1:40" s="7" customFormat="1" ht="48.75" customHeight="1" x14ac:dyDescent="0.4">
      <c r="A61" s="190"/>
      <c r="B61" s="218" t="s">
        <v>44</v>
      </c>
      <c r="C61" s="219"/>
      <c r="D61" s="219"/>
      <c r="E61" s="220"/>
      <c r="F61" s="94">
        <f t="shared" si="0"/>
        <v>0</v>
      </c>
      <c r="G61" s="94">
        <f t="shared" ref="G61:T61" si="20">SUM(G60:G60)</f>
        <v>0</v>
      </c>
      <c r="H61" s="94">
        <f t="shared" si="20"/>
        <v>0</v>
      </c>
      <c r="I61" s="94">
        <f t="shared" si="20"/>
        <v>0</v>
      </c>
      <c r="J61" s="94">
        <f t="shared" si="20"/>
        <v>0</v>
      </c>
      <c r="K61" s="94">
        <f t="shared" si="20"/>
        <v>0</v>
      </c>
      <c r="L61" s="94">
        <f t="shared" si="20"/>
        <v>0</v>
      </c>
      <c r="M61" s="94">
        <f t="shared" si="20"/>
        <v>0</v>
      </c>
      <c r="N61" s="94">
        <f t="shared" si="20"/>
        <v>0</v>
      </c>
      <c r="O61" s="94">
        <f t="shared" si="20"/>
        <v>0</v>
      </c>
      <c r="P61" s="94">
        <f>SUM(P60:P60)</f>
        <v>0</v>
      </c>
      <c r="Q61" s="94">
        <f t="shared" si="20"/>
        <v>0</v>
      </c>
      <c r="R61" s="94">
        <f t="shared" si="20"/>
        <v>0</v>
      </c>
      <c r="S61" s="94">
        <f t="shared" si="20"/>
        <v>0</v>
      </c>
      <c r="T61" s="94">
        <f t="shared" si="20"/>
        <v>0</v>
      </c>
      <c r="AG61" s="6"/>
      <c r="AH61" s="6"/>
      <c r="AI61" s="6"/>
      <c r="AJ61" s="6"/>
      <c r="AK61" s="6"/>
      <c r="AL61" s="6"/>
      <c r="AM61" s="6"/>
      <c r="AN61" s="1"/>
    </row>
    <row r="62" spans="1:40" s="7" customFormat="1" ht="408" customHeight="1" x14ac:dyDescent="0.4">
      <c r="A62" s="190"/>
      <c r="B62" s="192">
        <v>1517368</v>
      </c>
      <c r="C62" s="50">
        <v>3122</v>
      </c>
      <c r="D62" s="51"/>
      <c r="E62" s="52" t="s">
        <v>139</v>
      </c>
      <c r="F62" s="53">
        <f>G62+H62+I62</f>
        <v>1285000</v>
      </c>
      <c r="G62" s="55"/>
      <c r="H62" s="55"/>
      <c r="I62" s="55">
        <v>1285000</v>
      </c>
      <c r="J62" s="56">
        <f t="shared" ref="J62:J65" si="21">SUM(K62:M62)</f>
        <v>0</v>
      </c>
      <c r="K62" s="55"/>
      <c r="L62" s="55"/>
      <c r="M62" s="55"/>
      <c r="N62" s="57">
        <f t="shared" ref="N62:N65" si="22">SUM(O62:Q62)</f>
        <v>0</v>
      </c>
      <c r="O62" s="55"/>
      <c r="P62" s="55"/>
      <c r="Q62" s="58"/>
      <c r="R62" s="55"/>
      <c r="S62" s="55"/>
      <c r="T62" s="55">
        <f t="shared" ref="T62:T65" si="23">J62-N62</f>
        <v>0</v>
      </c>
      <c r="AG62" s="6"/>
      <c r="AH62" s="6"/>
      <c r="AI62" s="6"/>
      <c r="AJ62" s="6"/>
      <c r="AK62" s="6"/>
      <c r="AL62" s="6"/>
      <c r="AM62" s="6"/>
      <c r="AN62" s="1"/>
    </row>
    <row r="63" spans="1:40" s="7" customFormat="1" ht="278.25" customHeight="1" x14ac:dyDescent="0.4">
      <c r="A63" s="190"/>
      <c r="B63" s="190"/>
      <c r="C63" s="50">
        <v>3132</v>
      </c>
      <c r="D63" s="51"/>
      <c r="E63" s="52" t="s">
        <v>140</v>
      </c>
      <c r="F63" s="53">
        <f t="shared" ref="F63:F66" si="24">G63+H63+I63</f>
        <v>3000000</v>
      </c>
      <c r="G63" s="55"/>
      <c r="H63" s="55"/>
      <c r="I63" s="55">
        <v>3000000</v>
      </c>
      <c r="J63" s="56">
        <f t="shared" si="21"/>
        <v>0</v>
      </c>
      <c r="K63" s="55"/>
      <c r="L63" s="55"/>
      <c r="M63" s="55"/>
      <c r="N63" s="57">
        <f t="shared" si="22"/>
        <v>0</v>
      </c>
      <c r="O63" s="55"/>
      <c r="P63" s="55"/>
      <c r="Q63" s="58"/>
      <c r="R63" s="55"/>
      <c r="S63" s="55"/>
      <c r="T63" s="55">
        <f t="shared" si="23"/>
        <v>0</v>
      </c>
      <c r="AG63" s="6"/>
      <c r="AH63" s="6"/>
      <c r="AI63" s="6"/>
      <c r="AJ63" s="6"/>
      <c r="AK63" s="6"/>
      <c r="AL63" s="6"/>
      <c r="AM63" s="6"/>
      <c r="AN63" s="1"/>
    </row>
    <row r="64" spans="1:40" s="7" customFormat="1" ht="199.5" customHeight="1" x14ac:dyDescent="0.4">
      <c r="A64" s="190"/>
      <c r="B64" s="190"/>
      <c r="C64" s="50">
        <v>3142</v>
      </c>
      <c r="D64" s="51"/>
      <c r="E64" s="52" t="s">
        <v>141</v>
      </c>
      <c r="F64" s="53">
        <f t="shared" si="24"/>
        <v>1214800</v>
      </c>
      <c r="G64" s="55"/>
      <c r="H64" s="55"/>
      <c r="I64" s="55">
        <v>1214800</v>
      </c>
      <c r="J64" s="56">
        <f t="shared" si="21"/>
        <v>0</v>
      </c>
      <c r="K64" s="55"/>
      <c r="L64" s="55"/>
      <c r="M64" s="55"/>
      <c r="N64" s="57">
        <f t="shared" si="22"/>
        <v>0</v>
      </c>
      <c r="O64" s="55"/>
      <c r="P64" s="55"/>
      <c r="Q64" s="58"/>
      <c r="R64" s="55"/>
      <c r="S64" s="55"/>
      <c r="T64" s="55">
        <f t="shared" si="23"/>
        <v>0</v>
      </c>
      <c r="AG64" s="6"/>
      <c r="AH64" s="6"/>
      <c r="AI64" s="6"/>
      <c r="AJ64" s="6"/>
      <c r="AK64" s="6"/>
      <c r="AL64" s="6"/>
      <c r="AM64" s="6"/>
      <c r="AN64" s="1"/>
    </row>
    <row r="65" spans="1:40" s="7" customFormat="1" ht="306" customHeight="1" x14ac:dyDescent="0.4">
      <c r="A65" s="190"/>
      <c r="B65" s="191"/>
      <c r="C65" s="50">
        <v>3142</v>
      </c>
      <c r="D65" s="51"/>
      <c r="E65" s="39" t="s">
        <v>142</v>
      </c>
      <c r="F65" s="53">
        <f t="shared" si="24"/>
        <v>1000000</v>
      </c>
      <c r="G65" s="55"/>
      <c r="H65" s="55"/>
      <c r="I65" s="55">
        <v>1000000</v>
      </c>
      <c r="J65" s="56">
        <f t="shared" si="21"/>
        <v>0</v>
      </c>
      <c r="K65" s="55"/>
      <c r="L65" s="55"/>
      <c r="M65" s="55"/>
      <c r="N65" s="57">
        <f t="shared" si="22"/>
        <v>0</v>
      </c>
      <c r="O65" s="55"/>
      <c r="P65" s="55"/>
      <c r="Q65" s="58"/>
      <c r="R65" s="55"/>
      <c r="S65" s="55"/>
      <c r="T65" s="55">
        <f t="shared" si="23"/>
        <v>0</v>
      </c>
      <c r="AG65" s="6"/>
      <c r="AH65" s="6"/>
      <c r="AI65" s="6"/>
      <c r="AJ65" s="6"/>
      <c r="AK65" s="6"/>
      <c r="AL65" s="6"/>
      <c r="AM65" s="6"/>
      <c r="AN65" s="1"/>
    </row>
    <row r="66" spans="1:40" s="7" customFormat="1" ht="213" customHeight="1" x14ac:dyDescent="0.4">
      <c r="A66" s="190"/>
      <c r="B66" s="161"/>
      <c r="C66" s="50">
        <v>3143</v>
      </c>
      <c r="D66" s="51"/>
      <c r="E66" s="39" t="s">
        <v>37</v>
      </c>
      <c r="F66" s="53">
        <f t="shared" si="24"/>
        <v>1400000</v>
      </c>
      <c r="G66" s="55"/>
      <c r="H66" s="55"/>
      <c r="I66" s="55">
        <v>1400000</v>
      </c>
      <c r="J66" s="56"/>
      <c r="K66" s="55"/>
      <c r="L66" s="55"/>
      <c r="M66" s="55"/>
      <c r="N66" s="57"/>
      <c r="O66" s="55"/>
      <c r="P66" s="55"/>
      <c r="Q66" s="58"/>
      <c r="R66" s="55"/>
      <c r="S66" s="55"/>
      <c r="T66" s="55"/>
      <c r="AG66" s="6"/>
      <c r="AH66" s="6"/>
      <c r="AI66" s="6"/>
      <c r="AJ66" s="6"/>
      <c r="AK66" s="6"/>
      <c r="AL66" s="6"/>
      <c r="AM66" s="6"/>
      <c r="AN66" s="1"/>
    </row>
    <row r="67" spans="1:40" s="7" customFormat="1" ht="60.75" customHeight="1" x14ac:dyDescent="0.4">
      <c r="A67" s="190"/>
      <c r="B67" s="253" t="s">
        <v>45</v>
      </c>
      <c r="C67" s="254"/>
      <c r="D67" s="254"/>
      <c r="E67" s="255"/>
      <c r="F67" s="94">
        <f>G67+H67+I67</f>
        <v>7899800</v>
      </c>
      <c r="G67" s="95">
        <f t="shared" ref="G67:T67" si="25">SUM(G62:G65)</f>
        <v>0</v>
      </c>
      <c r="H67" s="95">
        <f t="shared" si="25"/>
        <v>0</v>
      </c>
      <c r="I67" s="95">
        <f>SUM(I62:I66)</f>
        <v>7899800</v>
      </c>
      <c r="J67" s="95">
        <f t="shared" si="25"/>
        <v>0</v>
      </c>
      <c r="K67" s="95">
        <f t="shared" si="25"/>
        <v>0</v>
      </c>
      <c r="L67" s="95">
        <f t="shared" si="25"/>
        <v>0</v>
      </c>
      <c r="M67" s="95">
        <f t="shared" si="25"/>
        <v>0</v>
      </c>
      <c r="N67" s="95">
        <f t="shared" si="25"/>
        <v>0</v>
      </c>
      <c r="O67" s="95">
        <f t="shared" si="25"/>
        <v>0</v>
      </c>
      <c r="P67" s="95">
        <f t="shared" si="25"/>
        <v>0</v>
      </c>
      <c r="Q67" s="95">
        <f t="shared" si="25"/>
        <v>0</v>
      </c>
      <c r="R67" s="95">
        <f t="shared" si="25"/>
        <v>0</v>
      </c>
      <c r="S67" s="95">
        <f t="shared" si="25"/>
        <v>0</v>
      </c>
      <c r="T67" s="95">
        <f t="shared" si="25"/>
        <v>0</v>
      </c>
      <c r="AG67" s="6"/>
      <c r="AH67" s="6"/>
      <c r="AI67" s="6"/>
      <c r="AJ67" s="6"/>
      <c r="AK67" s="6"/>
      <c r="AL67" s="6"/>
      <c r="AM67" s="6"/>
      <c r="AN67" s="1"/>
    </row>
    <row r="68" spans="1:40" s="7" customFormat="1" ht="303.75" customHeight="1" x14ac:dyDescent="0.4">
      <c r="A68" s="190"/>
      <c r="B68" s="194">
        <v>1517369</v>
      </c>
      <c r="C68" s="161">
        <v>3142</v>
      </c>
      <c r="D68" s="96">
        <v>431</v>
      </c>
      <c r="E68" s="41" t="s">
        <v>150</v>
      </c>
      <c r="F68" s="53">
        <f t="shared" si="0"/>
        <v>860000</v>
      </c>
      <c r="G68" s="175">
        <v>860000</v>
      </c>
      <c r="H68" s="55"/>
      <c r="I68" s="55"/>
      <c r="J68" s="56">
        <f>SUM(K68:M68)</f>
        <v>0</v>
      </c>
      <c r="K68" s="98"/>
      <c r="L68" s="55"/>
      <c r="M68" s="92"/>
      <c r="N68" s="57">
        <f>SUM(O68+P68+Q68)</f>
        <v>0</v>
      </c>
      <c r="O68" s="98"/>
      <c r="P68" s="97"/>
      <c r="Q68" s="92"/>
      <c r="R68" s="99"/>
      <c r="S68" s="99"/>
      <c r="T68" s="55">
        <f t="shared" ref="T68:T74" si="26">J68-N68</f>
        <v>0</v>
      </c>
      <c r="AG68" s="6"/>
      <c r="AH68" s="6"/>
      <c r="AI68" s="6"/>
      <c r="AJ68" s="6"/>
      <c r="AK68" s="6"/>
      <c r="AL68" s="6"/>
      <c r="AM68" s="6"/>
      <c r="AN68" s="1"/>
    </row>
    <row r="69" spans="1:40" s="7" customFormat="1" ht="409.6" customHeight="1" x14ac:dyDescent="0.4">
      <c r="A69" s="190"/>
      <c r="B69" s="195"/>
      <c r="C69" s="161">
        <v>3142</v>
      </c>
      <c r="D69" s="96">
        <v>433</v>
      </c>
      <c r="E69" s="41" t="s">
        <v>151</v>
      </c>
      <c r="F69" s="53">
        <f t="shared" si="0"/>
        <v>3300000</v>
      </c>
      <c r="G69" s="97"/>
      <c r="H69" s="55"/>
      <c r="I69" s="55">
        <v>3300000</v>
      </c>
      <c r="J69" s="56">
        <f>SUM(K69+L69+M69)</f>
        <v>0</v>
      </c>
      <c r="K69" s="98"/>
      <c r="L69" s="55"/>
      <c r="M69" s="55"/>
      <c r="N69" s="57">
        <f>SUM(O69+P69+Q69)</f>
        <v>0</v>
      </c>
      <c r="O69" s="98"/>
      <c r="P69" s="55"/>
      <c r="Q69" s="92"/>
      <c r="R69" s="99"/>
      <c r="S69" s="99"/>
      <c r="T69" s="55">
        <f t="shared" si="26"/>
        <v>0</v>
      </c>
      <c r="AG69" s="6"/>
      <c r="AH69" s="6"/>
      <c r="AI69" s="6"/>
      <c r="AJ69" s="6"/>
      <c r="AK69" s="6"/>
      <c r="AL69" s="6"/>
      <c r="AM69" s="6"/>
      <c r="AN69" s="1"/>
    </row>
    <row r="70" spans="1:40" s="7" customFormat="1" ht="57" customHeight="1" x14ac:dyDescent="0.4">
      <c r="A70" s="190"/>
      <c r="B70" s="195"/>
      <c r="C70" s="34"/>
      <c r="D70" s="51">
        <v>430</v>
      </c>
      <c r="E70" s="52"/>
      <c r="F70" s="53">
        <f t="shared" si="0"/>
        <v>0</v>
      </c>
      <c r="G70" s="55"/>
      <c r="H70" s="55"/>
      <c r="I70" s="55"/>
      <c r="J70" s="56">
        <f>SUM(K70:M70)</f>
        <v>0</v>
      </c>
      <c r="K70" s="55"/>
      <c r="L70" s="55"/>
      <c r="M70" s="55"/>
      <c r="N70" s="57">
        <f>SUM(O70:Q70)</f>
        <v>0</v>
      </c>
      <c r="O70" s="55"/>
      <c r="P70" s="55"/>
      <c r="Q70" s="58"/>
      <c r="R70" s="55"/>
      <c r="S70" s="55"/>
      <c r="T70" s="55">
        <f t="shared" si="26"/>
        <v>0</v>
      </c>
      <c r="AG70" s="6"/>
      <c r="AH70" s="6"/>
      <c r="AI70" s="6"/>
      <c r="AJ70" s="6"/>
      <c r="AK70" s="6"/>
      <c r="AL70" s="6"/>
      <c r="AM70" s="6"/>
      <c r="AN70" s="1"/>
    </row>
    <row r="71" spans="1:40" s="7" customFormat="1" ht="57" customHeight="1" x14ac:dyDescent="0.4">
      <c r="A71" s="190"/>
      <c r="B71" s="195"/>
      <c r="C71" s="34"/>
      <c r="D71" s="51">
        <v>432</v>
      </c>
      <c r="E71" s="41"/>
      <c r="F71" s="53">
        <f t="shared" si="0"/>
        <v>0</v>
      </c>
      <c r="G71" s="55"/>
      <c r="H71" s="55"/>
      <c r="I71" s="55"/>
      <c r="J71" s="56">
        <f>SUM(K71:M71)</f>
        <v>0</v>
      </c>
      <c r="K71" s="98"/>
      <c r="L71" s="55"/>
      <c r="M71" s="92"/>
      <c r="N71" s="57">
        <f>SUM(O71+P71+Q71)</f>
        <v>0</v>
      </c>
      <c r="O71" s="98"/>
      <c r="P71" s="55"/>
      <c r="Q71" s="92"/>
      <c r="R71" s="99"/>
      <c r="S71" s="99"/>
      <c r="T71" s="55">
        <f t="shared" si="26"/>
        <v>0</v>
      </c>
      <c r="AG71" s="6"/>
      <c r="AH71" s="6"/>
      <c r="AI71" s="6"/>
      <c r="AJ71" s="6"/>
      <c r="AK71" s="6"/>
      <c r="AL71" s="6"/>
      <c r="AM71" s="6"/>
      <c r="AN71" s="1"/>
    </row>
    <row r="72" spans="1:40" s="7" customFormat="1" ht="45" customHeight="1" x14ac:dyDescent="0.4">
      <c r="A72" s="190"/>
      <c r="B72" s="195"/>
      <c r="C72" s="34"/>
      <c r="D72" s="51">
        <v>435</v>
      </c>
      <c r="E72" s="52"/>
      <c r="F72" s="53">
        <f t="shared" si="0"/>
        <v>0</v>
      </c>
      <c r="G72" s="55"/>
      <c r="H72" s="55"/>
      <c r="I72" s="55"/>
      <c r="J72" s="56">
        <f>SUM(K72:M72)</f>
        <v>0</v>
      </c>
      <c r="K72" s="55"/>
      <c r="L72" s="55"/>
      <c r="M72" s="55"/>
      <c r="N72" s="57">
        <f>SUM(O72:Q72)</f>
        <v>0</v>
      </c>
      <c r="O72" s="55"/>
      <c r="P72" s="55"/>
      <c r="Q72" s="58"/>
      <c r="R72" s="55"/>
      <c r="S72" s="55"/>
      <c r="T72" s="55">
        <f t="shared" si="26"/>
        <v>0</v>
      </c>
      <c r="AG72" s="6"/>
      <c r="AH72" s="6"/>
      <c r="AI72" s="6"/>
      <c r="AJ72" s="6"/>
      <c r="AK72" s="6"/>
      <c r="AL72" s="6"/>
      <c r="AM72" s="6"/>
      <c r="AN72" s="1"/>
    </row>
    <row r="73" spans="1:40" s="7" customFormat="1" ht="57" customHeight="1" x14ac:dyDescent="0.4">
      <c r="A73" s="190"/>
      <c r="B73" s="196"/>
      <c r="C73" s="34"/>
      <c r="D73" s="51">
        <v>434</v>
      </c>
      <c r="E73" s="52"/>
      <c r="F73" s="53">
        <f t="shared" si="0"/>
        <v>0</v>
      </c>
      <c r="G73" s="55"/>
      <c r="H73" s="55"/>
      <c r="I73" s="55"/>
      <c r="J73" s="56">
        <f>SUM(K73:M73)</f>
        <v>0</v>
      </c>
      <c r="K73" s="55"/>
      <c r="L73" s="55"/>
      <c r="M73" s="55"/>
      <c r="N73" s="57">
        <f>SUM(O73:Q73)</f>
        <v>0</v>
      </c>
      <c r="O73" s="55"/>
      <c r="P73" s="55"/>
      <c r="Q73" s="58"/>
      <c r="R73" s="55"/>
      <c r="S73" s="55"/>
      <c r="T73" s="55">
        <f t="shared" si="26"/>
        <v>0</v>
      </c>
      <c r="AG73" s="6"/>
      <c r="AH73" s="6"/>
      <c r="AI73" s="6"/>
      <c r="AJ73" s="6"/>
      <c r="AK73" s="6"/>
      <c r="AL73" s="6"/>
      <c r="AM73" s="6"/>
      <c r="AN73" s="1"/>
    </row>
    <row r="74" spans="1:40" s="7" customFormat="1" ht="59.25" customHeight="1" x14ac:dyDescent="0.4">
      <c r="A74" s="190"/>
      <c r="B74" s="153"/>
      <c r="C74" s="34"/>
      <c r="D74" s="51"/>
      <c r="E74" s="101"/>
      <c r="F74" s="53">
        <f t="shared" si="0"/>
        <v>0</v>
      </c>
      <c r="G74" s="55"/>
      <c r="H74" s="55"/>
      <c r="I74" s="55"/>
      <c r="J74" s="56">
        <f>SUM(K74:M74)</f>
        <v>0</v>
      </c>
      <c r="K74" s="55"/>
      <c r="L74" s="55"/>
      <c r="M74" s="55"/>
      <c r="N74" s="57">
        <f>SUM(O74:Q74)</f>
        <v>0</v>
      </c>
      <c r="O74" s="55"/>
      <c r="P74" s="55"/>
      <c r="Q74" s="58"/>
      <c r="R74" s="55"/>
      <c r="S74" s="55"/>
      <c r="T74" s="55">
        <f t="shared" si="26"/>
        <v>0</v>
      </c>
      <c r="AG74" s="6"/>
      <c r="AH74" s="6"/>
      <c r="AI74" s="6"/>
      <c r="AJ74" s="6"/>
      <c r="AK74" s="6"/>
      <c r="AL74" s="6"/>
      <c r="AM74" s="6"/>
      <c r="AN74" s="1"/>
    </row>
    <row r="75" spans="1:40" s="7" customFormat="1" ht="57" customHeight="1" x14ac:dyDescent="0.4">
      <c r="A75" s="191"/>
      <c r="B75" s="165" t="s">
        <v>46</v>
      </c>
      <c r="C75" s="165"/>
      <c r="D75" s="166"/>
      <c r="E75" s="179"/>
      <c r="F75" s="94">
        <f t="shared" si="0"/>
        <v>4160000</v>
      </c>
      <c r="G75" s="95">
        <f t="shared" ref="G75:T75" si="27">SUM(G68:G74)</f>
        <v>860000</v>
      </c>
      <c r="H75" s="95">
        <f t="shared" si="27"/>
        <v>0</v>
      </c>
      <c r="I75" s="95">
        <f>SUM(I68:I74)</f>
        <v>3300000</v>
      </c>
      <c r="J75" s="95">
        <f t="shared" si="27"/>
        <v>0</v>
      </c>
      <c r="K75" s="95">
        <f t="shared" si="27"/>
        <v>0</v>
      </c>
      <c r="L75" s="95">
        <f t="shared" si="27"/>
        <v>0</v>
      </c>
      <c r="M75" s="95">
        <f t="shared" si="27"/>
        <v>0</v>
      </c>
      <c r="N75" s="95">
        <f t="shared" si="27"/>
        <v>0</v>
      </c>
      <c r="O75" s="95">
        <f t="shared" si="27"/>
        <v>0</v>
      </c>
      <c r="P75" s="95">
        <f t="shared" si="27"/>
        <v>0</v>
      </c>
      <c r="Q75" s="95">
        <f t="shared" si="27"/>
        <v>0</v>
      </c>
      <c r="R75" s="95">
        <f t="shared" si="27"/>
        <v>0</v>
      </c>
      <c r="S75" s="95">
        <f t="shared" si="27"/>
        <v>0</v>
      </c>
      <c r="T75" s="95">
        <f t="shared" si="27"/>
        <v>0</v>
      </c>
      <c r="AG75" s="6"/>
      <c r="AH75" s="6"/>
      <c r="AI75" s="6"/>
      <c r="AJ75" s="6"/>
      <c r="AK75" s="6"/>
      <c r="AL75" s="6"/>
      <c r="AM75" s="6"/>
      <c r="AN75" s="1"/>
    </row>
    <row r="76" spans="1:40" s="7" customFormat="1" ht="111" customHeight="1" x14ac:dyDescent="0.4">
      <c r="A76" s="262" t="s">
        <v>47</v>
      </c>
      <c r="B76" s="262"/>
      <c r="C76" s="262"/>
      <c r="D76" s="262"/>
      <c r="E76" s="262"/>
      <c r="F76" s="176">
        <f t="shared" si="0"/>
        <v>26300243</v>
      </c>
      <c r="G76" s="59">
        <f t="shared" ref="G76:T76" si="28">G75+G67+G61+G59+G56</f>
        <v>9710000</v>
      </c>
      <c r="H76" s="59">
        <f t="shared" si="28"/>
        <v>0</v>
      </c>
      <c r="I76" s="59">
        <f t="shared" si="28"/>
        <v>16590243</v>
      </c>
      <c r="J76" s="59">
        <f t="shared" si="28"/>
        <v>0</v>
      </c>
      <c r="K76" s="59">
        <f t="shared" si="28"/>
        <v>0</v>
      </c>
      <c r="L76" s="59">
        <f t="shared" si="28"/>
        <v>0</v>
      </c>
      <c r="M76" s="59">
        <f t="shared" si="28"/>
        <v>0</v>
      </c>
      <c r="N76" s="59">
        <f t="shared" si="28"/>
        <v>0</v>
      </c>
      <c r="O76" s="59">
        <f t="shared" si="28"/>
        <v>0</v>
      </c>
      <c r="P76" s="59">
        <f t="shared" si="28"/>
        <v>0</v>
      </c>
      <c r="Q76" s="59">
        <f t="shared" si="28"/>
        <v>0</v>
      </c>
      <c r="R76" s="59">
        <f t="shared" si="28"/>
        <v>0</v>
      </c>
      <c r="S76" s="59">
        <f t="shared" si="28"/>
        <v>0</v>
      </c>
      <c r="T76" s="59">
        <f t="shared" si="28"/>
        <v>0</v>
      </c>
      <c r="AG76" s="6"/>
      <c r="AH76" s="6"/>
      <c r="AI76" s="6"/>
      <c r="AJ76" s="6"/>
      <c r="AK76" s="6"/>
      <c r="AL76" s="6"/>
      <c r="AM76" s="6"/>
      <c r="AN76" s="1"/>
    </row>
    <row r="77" spans="1:40" s="19" customFormat="1" ht="366" customHeight="1" x14ac:dyDescent="0.4">
      <c r="A77" s="194">
        <v>1517370</v>
      </c>
      <c r="B77" s="167"/>
      <c r="C77" s="164">
        <v>3132</v>
      </c>
      <c r="D77" s="103"/>
      <c r="E77" s="186" t="s">
        <v>145</v>
      </c>
      <c r="F77" s="53">
        <f t="shared" si="0"/>
        <v>10000</v>
      </c>
      <c r="G77" s="72">
        <v>10000</v>
      </c>
      <c r="H77" s="72"/>
      <c r="I77" s="104"/>
      <c r="J77" s="56">
        <f>SUM(K77+L77+M77)</f>
        <v>0</v>
      </c>
      <c r="K77" s="72"/>
      <c r="L77" s="104"/>
      <c r="M77" s="104"/>
      <c r="N77" s="57">
        <f>SUM(O77+P77+Q77)</f>
        <v>0</v>
      </c>
      <c r="O77" s="72"/>
      <c r="P77" s="104"/>
      <c r="Q77" s="104"/>
      <c r="R77" s="104"/>
      <c r="S77" s="104"/>
      <c r="T77" s="72">
        <f>SUM(J77-N77)</f>
        <v>0</v>
      </c>
      <c r="AG77" s="20"/>
      <c r="AH77" s="20"/>
      <c r="AI77" s="20"/>
      <c r="AJ77" s="20"/>
      <c r="AK77" s="20"/>
      <c r="AL77" s="20"/>
      <c r="AM77" s="20"/>
      <c r="AN77" s="21"/>
    </row>
    <row r="78" spans="1:40" s="19" customFormat="1" ht="170.25" customHeight="1" x14ac:dyDescent="0.4">
      <c r="A78" s="195"/>
      <c r="B78" s="167"/>
      <c r="C78" s="164">
        <v>3132</v>
      </c>
      <c r="D78" s="103"/>
      <c r="E78" s="41" t="s">
        <v>146</v>
      </c>
      <c r="F78" s="53">
        <f t="shared" si="0"/>
        <v>10000</v>
      </c>
      <c r="G78" s="72">
        <v>10000</v>
      </c>
      <c r="H78" s="72"/>
      <c r="I78" s="104"/>
      <c r="J78" s="56">
        <f>SUM(K78+L78+M78)</f>
        <v>0</v>
      </c>
      <c r="K78" s="72"/>
      <c r="L78" s="104"/>
      <c r="M78" s="104"/>
      <c r="N78" s="57">
        <f>SUM(O78+P78+Q78)</f>
        <v>0</v>
      </c>
      <c r="O78" s="72"/>
      <c r="P78" s="104"/>
      <c r="Q78" s="104"/>
      <c r="R78" s="104"/>
      <c r="S78" s="104"/>
      <c r="T78" s="72">
        <f>SUM(J78-N78)</f>
        <v>0</v>
      </c>
      <c r="AG78" s="20"/>
      <c r="AH78" s="20"/>
      <c r="AI78" s="20"/>
      <c r="AJ78" s="20"/>
      <c r="AK78" s="20"/>
      <c r="AL78" s="20"/>
      <c r="AM78" s="20"/>
      <c r="AN78" s="21"/>
    </row>
    <row r="79" spans="1:40" s="19" customFormat="1" ht="390.75" customHeight="1" x14ac:dyDescent="0.4">
      <c r="A79" s="195"/>
      <c r="B79" s="167"/>
      <c r="C79" s="164">
        <v>3132</v>
      </c>
      <c r="D79" s="103"/>
      <c r="E79" s="187" t="s">
        <v>144</v>
      </c>
      <c r="F79" s="53">
        <f t="shared" si="0"/>
        <v>10000</v>
      </c>
      <c r="G79" s="72">
        <v>10000</v>
      </c>
      <c r="H79" s="72"/>
      <c r="I79" s="104"/>
      <c r="J79" s="56">
        <f>SUM(K79+L79+M79)</f>
        <v>0</v>
      </c>
      <c r="K79" s="72"/>
      <c r="L79" s="104"/>
      <c r="M79" s="104"/>
      <c r="N79" s="57">
        <f>SUM(O79+P79+Q79)</f>
        <v>0</v>
      </c>
      <c r="O79" s="72"/>
      <c r="P79" s="104"/>
      <c r="Q79" s="104"/>
      <c r="R79" s="104"/>
      <c r="S79" s="104"/>
      <c r="T79" s="72">
        <f>SUM(J79-N79)</f>
        <v>0</v>
      </c>
      <c r="AG79" s="20"/>
      <c r="AH79" s="20"/>
      <c r="AI79" s="20"/>
      <c r="AJ79" s="20"/>
      <c r="AK79" s="20"/>
      <c r="AL79" s="20"/>
      <c r="AM79" s="20"/>
      <c r="AN79" s="21"/>
    </row>
    <row r="80" spans="1:40" s="19" customFormat="1" ht="201" customHeight="1" x14ac:dyDescent="0.4">
      <c r="A80" s="195"/>
      <c r="B80" s="167"/>
      <c r="C80" s="164">
        <v>3132</v>
      </c>
      <c r="D80" s="103"/>
      <c r="E80" s="41" t="s">
        <v>147</v>
      </c>
      <c r="F80" s="53">
        <f t="shared" si="0"/>
        <v>10000</v>
      </c>
      <c r="G80" s="72">
        <v>10000</v>
      </c>
      <c r="H80" s="72"/>
      <c r="I80" s="104"/>
      <c r="J80" s="56"/>
      <c r="K80" s="72"/>
      <c r="L80" s="104"/>
      <c r="M80" s="104"/>
      <c r="N80" s="57"/>
      <c r="O80" s="72"/>
      <c r="P80" s="104"/>
      <c r="Q80" s="104"/>
      <c r="R80" s="104"/>
      <c r="S80" s="104"/>
      <c r="T80" s="72"/>
      <c r="AG80" s="20"/>
      <c r="AH80" s="20"/>
      <c r="AI80" s="20"/>
      <c r="AJ80" s="20"/>
      <c r="AK80" s="20"/>
      <c r="AL80" s="20"/>
      <c r="AM80" s="20"/>
      <c r="AN80" s="21"/>
    </row>
    <row r="81" spans="1:40" s="19" customFormat="1" ht="223.5" customHeight="1" x14ac:dyDescent="0.4">
      <c r="A81" s="195"/>
      <c r="B81" s="167"/>
      <c r="C81" s="164">
        <v>3132</v>
      </c>
      <c r="D81" s="103"/>
      <c r="E81" s="41" t="s">
        <v>148</v>
      </c>
      <c r="F81" s="53">
        <f t="shared" si="0"/>
        <v>10000</v>
      </c>
      <c r="G81" s="72">
        <v>10000</v>
      </c>
      <c r="H81" s="72"/>
      <c r="I81" s="104"/>
      <c r="J81" s="56"/>
      <c r="K81" s="72"/>
      <c r="L81" s="104"/>
      <c r="M81" s="104"/>
      <c r="N81" s="57"/>
      <c r="O81" s="72"/>
      <c r="P81" s="104"/>
      <c r="Q81" s="104"/>
      <c r="R81" s="104"/>
      <c r="S81" s="104"/>
      <c r="T81" s="72"/>
      <c r="AG81" s="20"/>
      <c r="AH81" s="20"/>
      <c r="AI81" s="20"/>
      <c r="AJ81" s="20"/>
      <c r="AK81" s="20"/>
      <c r="AL81" s="20"/>
      <c r="AM81" s="20"/>
      <c r="AN81" s="21"/>
    </row>
    <row r="82" spans="1:40" s="19" customFormat="1" ht="297.75" customHeight="1" x14ac:dyDescent="0.4">
      <c r="A82" s="196"/>
      <c r="B82" s="167"/>
      <c r="C82" s="164">
        <v>3142</v>
      </c>
      <c r="D82" s="103"/>
      <c r="E82" s="41" t="s">
        <v>149</v>
      </c>
      <c r="F82" s="53">
        <f t="shared" si="0"/>
        <v>10000</v>
      </c>
      <c r="G82" s="72">
        <v>10000</v>
      </c>
      <c r="H82" s="72"/>
      <c r="I82" s="104"/>
      <c r="J82" s="56"/>
      <c r="K82" s="72"/>
      <c r="L82" s="104"/>
      <c r="M82" s="104"/>
      <c r="N82" s="57"/>
      <c r="O82" s="72"/>
      <c r="P82" s="104"/>
      <c r="Q82" s="104"/>
      <c r="R82" s="104"/>
      <c r="S82" s="104"/>
      <c r="T82" s="72"/>
      <c r="AG82" s="20"/>
      <c r="AH82" s="20"/>
      <c r="AI82" s="20"/>
      <c r="AJ82" s="20"/>
      <c r="AK82" s="20"/>
      <c r="AL82" s="20"/>
      <c r="AM82" s="20"/>
      <c r="AN82" s="21"/>
    </row>
    <row r="83" spans="1:40" s="19" customFormat="1" ht="64.5" customHeight="1" x14ac:dyDescent="0.4">
      <c r="A83" s="188" t="s">
        <v>143</v>
      </c>
      <c r="B83" s="188"/>
      <c r="C83" s="188"/>
      <c r="D83" s="188"/>
      <c r="E83" s="188"/>
      <c r="F83" s="94">
        <f t="shared" si="0"/>
        <v>60000</v>
      </c>
      <c r="G83" s="60">
        <f>SUM(G77:G82)</f>
        <v>60000</v>
      </c>
      <c r="H83" s="60">
        <f t="shared" ref="H83:T83" si="29">SUM(H77:H79)</f>
        <v>0</v>
      </c>
      <c r="I83" s="60">
        <f t="shared" si="29"/>
        <v>0</v>
      </c>
      <c r="J83" s="60">
        <f t="shared" si="29"/>
        <v>0</v>
      </c>
      <c r="K83" s="60">
        <f t="shared" si="29"/>
        <v>0</v>
      </c>
      <c r="L83" s="60">
        <f t="shared" si="29"/>
        <v>0</v>
      </c>
      <c r="M83" s="60">
        <f t="shared" si="29"/>
        <v>0</v>
      </c>
      <c r="N83" s="60">
        <f t="shared" si="29"/>
        <v>0</v>
      </c>
      <c r="O83" s="60">
        <f t="shared" si="29"/>
        <v>0</v>
      </c>
      <c r="P83" s="60">
        <f t="shared" si="29"/>
        <v>0</v>
      </c>
      <c r="Q83" s="60">
        <f t="shared" si="29"/>
        <v>0</v>
      </c>
      <c r="R83" s="60">
        <f t="shared" si="29"/>
        <v>0</v>
      </c>
      <c r="S83" s="60">
        <f t="shared" si="29"/>
        <v>0</v>
      </c>
      <c r="T83" s="60">
        <f t="shared" si="29"/>
        <v>0</v>
      </c>
      <c r="AG83" s="20"/>
      <c r="AH83" s="20"/>
      <c r="AI83" s="20"/>
      <c r="AJ83" s="20"/>
      <c r="AK83" s="20"/>
      <c r="AL83" s="20"/>
      <c r="AM83" s="20"/>
      <c r="AN83" s="21"/>
    </row>
    <row r="84" spans="1:40" s="1" customFormat="1" ht="53.25" customHeight="1" x14ac:dyDescent="0.4">
      <c r="A84" s="113"/>
      <c r="B84" s="105"/>
      <c r="C84" s="106"/>
      <c r="D84" s="107"/>
      <c r="E84" s="156" t="s">
        <v>16</v>
      </c>
      <c r="F84" s="177">
        <f t="shared" si="0"/>
        <v>48130243</v>
      </c>
      <c r="G84" s="132">
        <f t="shared" ref="G84:Q84" si="30">G83+G76+G45+G41+G37+G31+G18+G16+G14</f>
        <v>31540000</v>
      </c>
      <c r="H84" s="132">
        <f t="shared" si="30"/>
        <v>0</v>
      </c>
      <c r="I84" s="132">
        <f t="shared" si="30"/>
        <v>16590243</v>
      </c>
      <c r="J84" s="132">
        <f t="shared" si="30"/>
        <v>0</v>
      </c>
      <c r="K84" s="132">
        <f t="shared" si="30"/>
        <v>0</v>
      </c>
      <c r="L84" s="132">
        <f t="shared" si="30"/>
        <v>0</v>
      </c>
      <c r="M84" s="132">
        <f t="shared" si="30"/>
        <v>0</v>
      </c>
      <c r="N84" s="132">
        <f t="shared" si="30"/>
        <v>0</v>
      </c>
      <c r="O84" s="132">
        <f t="shared" si="30"/>
        <v>0</v>
      </c>
      <c r="P84" s="132">
        <f t="shared" si="30"/>
        <v>0</v>
      </c>
      <c r="Q84" s="132">
        <f t="shared" si="30"/>
        <v>0</v>
      </c>
      <c r="R84" s="132">
        <f>R76+R45+R41+R37+R31+R18+R16+R14</f>
        <v>0</v>
      </c>
      <c r="S84" s="132">
        <f>S76+S45+S41+S37+S31+S18+S16+S14</f>
        <v>0</v>
      </c>
      <c r="T84" s="132">
        <f>T83+T76+T45+T41+T37+T31+T18+T16+T14</f>
        <v>0</v>
      </c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6"/>
      <c r="AH84" s="6"/>
      <c r="AI84" s="6"/>
      <c r="AJ84" s="6"/>
      <c r="AK84" s="6"/>
      <c r="AL84" s="6"/>
      <c r="AM84" s="6"/>
    </row>
    <row r="85" spans="1:40" s="1" customFormat="1" ht="62.25" customHeight="1" x14ac:dyDescent="0.4">
      <c r="A85" s="189" t="s">
        <v>153</v>
      </c>
      <c r="B85" s="189"/>
      <c r="C85" s="189"/>
      <c r="D85" s="189"/>
      <c r="E85" s="189"/>
      <c r="F85" s="110"/>
      <c r="G85" s="109"/>
      <c r="H85" s="109"/>
      <c r="I85" s="109"/>
      <c r="J85" s="110"/>
      <c r="K85" s="109"/>
      <c r="L85" s="109"/>
      <c r="M85" s="109"/>
      <c r="N85" s="110"/>
      <c r="O85" s="111"/>
      <c r="P85" s="111"/>
      <c r="Q85" s="111"/>
      <c r="R85" s="111"/>
      <c r="S85" s="111"/>
      <c r="T85" s="111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6"/>
      <c r="AH85" s="6"/>
      <c r="AI85" s="6"/>
      <c r="AJ85" s="6"/>
      <c r="AK85" s="6"/>
      <c r="AL85" s="6"/>
      <c r="AM85" s="6"/>
    </row>
    <row r="86" spans="1:40" s="1" customFormat="1" ht="26.45" customHeight="1" x14ac:dyDescent="0.6">
      <c r="A86" s="15"/>
      <c r="C86" s="2"/>
      <c r="D86" s="31"/>
      <c r="F86" s="22"/>
      <c r="J86" s="23"/>
      <c r="N86" s="21"/>
      <c r="O86" s="6"/>
      <c r="P86" s="6"/>
      <c r="Q86" s="6"/>
      <c r="R86" s="6"/>
      <c r="S86" s="6"/>
      <c r="T86" s="6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6"/>
      <c r="AH86" s="6"/>
      <c r="AI86" s="6"/>
      <c r="AJ86" s="6"/>
      <c r="AK86" s="6"/>
      <c r="AL86" s="6"/>
      <c r="AM86" s="6"/>
    </row>
    <row r="87" spans="1:40" s="1" customFormat="1" ht="26.45" customHeight="1" x14ac:dyDescent="0.6">
      <c r="A87" s="15"/>
      <c r="C87" s="2"/>
      <c r="D87" s="31"/>
      <c r="F87" s="22"/>
      <c r="J87" s="23"/>
      <c r="N87" s="21"/>
      <c r="O87" s="6"/>
      <c r="P87" s="6"/>
      <c r="Q87" s="6"/>
      <c r="R87" s="6"/>
      <c r="S87" s="6"/>
      <c r="T87" s="6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6"/>
      <c r="AH87" s="6"/>
      <c r="AI87" s="6"/>
      <c r="AJ87" s="6"/>
      <c r="AK87" s="6"/>
      <c r="AL87" s="6"/>
      <c r="AM87" s="6"/>
    </row>
    <row r="88" spans="1:40" s="1" customFormat="1" ht="26.45" customHeight="1" x14ac:dyDescent="0.6">
      <c r="A88" s="15"/>
      <c r="C88" s="2"/>
      <c r="D88" s="31"/>
      <c r="F88" s="22"/>
      <c r="J88" s="23"/>
      <c r="N88" s="21"/>
      <c r="O88" s="6"/>
      <c r="P88" s="6"/>
      <c r="Q88" s="6"/>
      <c r="R88" s="6"/>
      <c r="S88" s="6"/>
      <c r="T88" s="6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6"/>
      <c r="AH88" s="6"/>
      <c r="AI88" s="6"/>
      <c r="AJ88" s="6"/>
      <c r="AK88" s="6"/>
      <c r="AL88" s="6"/>
      <c r="AM88" s="6"/>
    </row>
    <row r="89" spans="1:40" s="1" customFormat="1" ht="26.45" customHeight="1" x14ac:dyDescent="0.6">
      <c r="A89" s="15"/>
      <c r="C89" s="2"/>
      <c r="D89" s="31"/>
      <c r="F89" s="22"/>
      <c r="J89" s="23"/>
      <c r="N89" s="21"/>
      <c r="O89" s="6"/>
      <c r="P89" s="6"/>
      <c r="Q89" s="6"/>
      <c r="R89" s="6"/>
      <c r="S89" s="6"/>
      <c r="T89" s="6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6"/>
      <c r="AH89" s="6"/>
      <c r="AI89" s="6"/>
      <c r="AJ89" s="6"/>
      <c r="AK89" s="6"/>
      <c r="AL89" s="6"/>
      <c r="AM89" s="6"/>
    </row>
  </sheetData>
  <mergeCells count="49">
    <mergeCell ref="A85:E85"/>
    <mergeCell ref="B62:B65"/>
    <mergeCell ref="B67:E67"/>
    <mergeCell ref="B68:B73"/>
    <mergeCell ref="A76:E76"/>
    <mergeCell ref="A77:A82"/>
    <mergeCell ref="A83:E83"/>
    <mergeCell ref="A32:A36"/>
    <mergeCell ref="A38:A40"/>
    <mergeCell ref="A42:A44"/>
    <mergeCell ref="B42:B43"/>
    <mergeCell ref="A46:A75"/>
    <mergeCell ref="B46:B55"/>
    <mergeCell ref="B56:E56"/>
    <mergeCell ref="B57:B58"/>
    <mergeCell ref="B59:E59"/>
    <mergeCell ref="B61:E61"/>
    <mergeCell ref="S10:S11"/>
    <mergeCell ref="A12:A13"/>
    <mergeCell ref="A14:E14"/>
    <mergeCell ref="A16:E16"/>
    <mergeCell ref="A18:E18"/>
    <mergeCell ref="A20:A30"/>
    <mergeCell ref="G10:G11"/>
    <mergeCell ref="H10:H11"/>
    <mergeCell ref="I10:I11"/>
    <mergeCell ref="K10:K11"/>
    <mergeCell ref="L10:L11"/>
    <mergeCell ref="M10:M11"/>
    <mergeCell ref="J9:J11"/>
    <mergeCell ref="K9:M9"/>
    <mergeCell ref="N9:N11"/>
    <mergeCell ref="O9:Q9"/>
    <mergeCell ref="R9:S9"/>
    <mergeCell ref="T9:T11"/>
    <mergeCell ref="O10:O11"/>
    <mergeCell ref="P10:P11"/>
    <mergeCell ref="Q10:Q11"/>
    <mergeCell ref="R10:R11"/>
    <mergeCell ref="A5:T5"/>
    <mergeCell ref="A6:T6"/>
    <mergeCell ref="A7:T7"/>
    <mergeCell ref="A9:A11"/>
    <mergeCell ref="B9:B11"/>
    <mergeCell ref="C9:C11"/>
    <mergeCell ref="D9:D11"/>
    <mergeCell ref="E9:E11"/>
    <mergeCell ref="F9:F11"/>
    <mergeCell ref="G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01.01.2022</vt:lpstr>
      <vt:lpstr>11.02.2022</vt:lpstr>
      <vt:lpstr>18.02.2022</vt:lpstr>
      <vt:lpstr>'01.01.2022'!Заголовки_для_печати</vt:lpstr>
      <vt:lpstr>'01.01.2022'!Область_печати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2022-02-10T14:57:41Z</cp:lastPrinted>
  <dcterms:created xsi:type="dcterms:W3CDTF">2020-12-20T17:46:02Z</dcterms:created>
  <dcterms:modified xsi:type="dcterms:W3CDTF">2022-02-18T06:48:34Z</dcterms:modified>
</cp:coreProperties>
</file>