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1\Desktop\untitled\"/>
    </mc:Choice>
  </mc:AlternateContent>
  <xr:revisionPtr revIDLastSave="0" documentId="13_ncr:1_{1A43D9D0-870A-4830-934D-8B18DD4CAACC}" xr6:coauthVersionLast="46" xr6:coauthVersionMax="46" xr10:uidLastSave="{00000000-0000-0000-0000-000000000000}"/>
  <bookViews>
    <workbookView xWindow="-118" yWindow="-118" windowWidth="21181" windowHeight="11402" tabRatio="553" xr2:uid="{00000000-000D-0000-FFFF-FFFF00000000}"/>
  </bookViews>
  <sheets>
    <sheet name="31.12.2020" sheetId="156" r:id="rId1"/>
  </sheets>
  <definedNames>
    <definedName name="_xlnm.Print_Titles" localSheetId="0">'31.12.2020'!$9:$11</definedName>
    <definedName name="_xlnm.Print_Area" localSheetId="0">'31.12.2020'!$A$1:$S$96</definedName>
  </definedNames>
  <calcPr calcId="191029"/>
</workbook>
</file>

<file path=xl/calcChain.xml><?xml version="1.0" encoding="utf-8"?>
<calcChain xmlns="http://schemas.openxmlformats.org/spreadsheetml/2006/main">
  <c r="P48" i="156" l="1"/>
  <c r="K86" i="156"/>
  <c r="I86" i="156" s="1"/>
  <c r="N22" i="156"/>
  <c r="M22" i="156" s="1"/>
  <c r="P51" i="156"/>
  <c r="P57" i="156"/>
  <c r="P58" i="156" s="1"/>
  <c r="O85" i="156"/>
  <c r="J44" i="156"/>
  <c r="N44" i="156"/>
  <c r="N53" i="156" s="1"/>
  <c r="O14" i="156"/>
  <c r="O15" i="156" s="1"/>
  <c r="N30" i="156"/>
  <c r="N29" i="156"/>
  <c r="L46" i="156"/>
  <c r="N80" i="156"/>
  <c r="N87" i="156" s="1"/>
  <c r="O82" i="156"/>
  <c r="M82" i="156" s="1"/>
  <c r="O86" i="156"/>
  <c r="O81" i="156"/>
  <c r="O80" i="156"/>
  <c r="O90" i="156"/>
  <c r="K90" i="156"/>
  <c r="G90" i="156"/>
  <c r="F90" i="156"/>
  <c r="M89" i="156"/>
  <c r="M90" i="156" s="1"/>
  <c r="I89" i="156"/>
  <c r="I90" i="156" s="1"/>
  <c r="S90" i="156" s="1"/>
  <c r="E89" i="156"/>
  <c r="E90" i="156" s="1"/>
  <c r="R87" i="156"/>
  <c r="Q87" i="156"/>
  <c r="P87" i="156"/>
  <c r="L87" i="156"/>
  <c r="H87" i="156"/>
  <c r="H88" i="156" s="1"/>
  <c r="F87" i="156"/>
  <c r="M86" i="156"/>
  <c r="G86" i="156"/>
  <c r="E86" i="156"/>
  <c r="M85" i="156"/>
  <c r="K85" i="156"/>
  <c r="I85" i="156" s="1"/>
  <c r="G85" i="156"/>
  <c r="E85" i="156" s="1"/>
  <c r="M84" i="156"/>
  <c r="I84" i="156"/>
  <c r="E84" i="156"/>
  <c r="O83" i="156"/>
  <c r="M83" i="156"/>
  <c r="K83" i="156"/>
  <c r="I83" i="156"/>
  <c r="E83" i="156"/>
  <c r="K82" i="156"/>
  <c r="I82" i="156" s="1"/>
  <c r="G82" i="156"/>
  <c r="E82" i="156" s="1"/>
  <c r="M81" i="156"/>
  <c r="K81" i="156"/>
  <c r="I81" i="156" s="1"/>
  <c r="E81" i="156"/>
  <c r="K80" i="156"/>
  <c r="K87" i="156" s="1"/>
  <c r="J80" i="156"/>
  <c r="J87" i="156" s="1"/>
  <c r="G80" i="156"/>
  <c r="G87" i="156" s="1"/>
  <c r="R79" i="156"/>
  <c r="Q79" i="156"/>
  <c r="O79" i="156"/>
  <c r="N79" i="156"/>
  <c r="K79" i="156"/>
  <c r="J79" i="156"/>
  <c r="H79" i="156"/>
  <c r="G79" i="156"/>
  <c r="F79" i="156"/>
  <c r="P78" i="156"/>
  <c r="M78" i="156" s="1"/>
  <c r="L78" i="156"/>
  <c r="I78" i="156" s="1"/>
  <c r="E78" i="156"/>
  <c r="P77" i="156"/>
  <c r="M77" i="156" s="1"/>
  <c r="L77" i="156"/>
  <c r="I77" i="156" s="1"/>
  <c r="P76" i="156"/>
  <c r="M76" i="156"/>
  <c r="L76" i="156"/>
  <c r="I76" i="156"/>
  <c r="S76" i="156" s="1"/>
  <c r="E76" i="156"/>
  <c r="P75" i="156"/>
  <c r="M75" i="156" s="1"/>
  <c r="L75" i="156"/>
  <c r="I75" i="156" s="1"/>
  <c r="E75" i="156"/>
  <c r="P74" i="156"/>
  <c r="M74" i="156"/>
  <c r="L74" i="156"/>
  <c r="I74" i="156"/>
  <c r="E74" i="156"/>
  <c r="P73" i="156"/>
  <c r="M73" i="156" s="1"/>
  <c r="L73" i="156"/>
  <c r="I73" i="156" s="1"/>
  <c r="E73" i="156"/>
  <c r="P72" i="156"/>
  <c r="M72" i="156"/>
  <c r="L72" i="156"/>
  <c r="I72" i="156"/>
  <c r="S72" i="156" s="1"/>
  <c r="E72" i="156"/>
  <c r="P71" i="156"/>
  <c r="M71" i="156" s="1"/>
  <c r="L71" i="156"/>
  <c r="I71" i="156" s="1"/>
  <c r="E71" i="156"/>
  <c r="P70" i="156"/>
  <c r="M70" i="156"/>
  <c r="L70" i="156"/>
  <c r="I70" i="156"/>
  <c r="E70" i="156"/>
  <c r="M69" i="156"/>
  <c r="I69" i="156"/>
  <c r="E69" i="156"/>
  <c r="P68" i="156"/>
  <c r="M68" i="156"/>
  <c r="L68" i="156"/>
  <c r="I68" i="156"/>
  <c r="E68" i="156"/>
  <c r="M67" i="156"/>
  <c r="I67" i="156"/>
  <c r="E67" i="156"/>
  <c r="P66" i="156"/>
  <c r="M66" i="156"/>
  <c r="L66" i="156"/>
  <c r="I66" i="156"/>
  <c r="E66" i="156"/>
  <c r="M65" i="156"/>
  <c r="I65" i="156"/>
  <c r="E65" i="156"/>
  <c r="P64" i="156"/>
  <c r="M64" i="156"/>
  <c r="L64" i="156"/>
  <c r="I64" i="156"/>
  <c r="E64" i="156"/>
  <c r="R63" i="156"/>
  <c r="Q63" i="156"/>
  <c r="O63" i="156"/>
  <c r="N63" i="156"/>
  <c r="J63" i="156"/>
  <c r="H63" i="156"/>
  <c r="G63" i="156"/>
  <c r="F63" i="156"/>
  <c r="P62" i="156"/>
  <c r="M62" i="156" s="1"/>
  <c r="O62" i="156"/>
  <c r="L62" i="156"/>
  <c r="K62" i="156"/>
  <c r="I62" i="156" s="1"/>
  <c r="E62" i="156"/>
  <c r="P61" i="156"/>
  <c r="O61" i="156"/>
  <c r="M61" i="156"/>
  <c r="L61" i="156"/>
  <c r="K61" i="156"/>
  <c r="I61" i="156" s="1"/>
  <c r="E61" i="156"/>
  <c r="P60" i="156"/>
  <c r="M60" i="156" s="1"/>
  <c r="O60" i="156"/>
  <c r="L60" i="156"/>
  <c r="K60" i="156"/>
  <c r="I60" i="156" s="1"/>
  <c r="E60" i="156"/>
  <c r="P59" i="156"/>
  <c r="O59" i="156"/>
  <c r="M59" i="156"/>
  <c r="L59" i="156"/>
  <c r="L63" i="156" s="1"/>
  <c r="K59" i="156"/>
  <c r="E59" i="156"/>
  <c r="R58" i="156"/>
  <c r="Q58" i="156"/>
  <c r="N58" i="156"/>
  <c r="J58" i="156"/>
  <c r="H58" i="156"/>
  <c r="G58" i="156"/>
  <c r="F58" i="156"/>
  <c r="O57" i="156"/>
  <c r="M57" i="156" s="1"/>
  <c r="L57" i="156"/>
  <c r="L58" i="156" s="1"/>
  <c r="K57" i="156"/>
  <c r="I57" i="156" s="1"/>
  <c r="E57" i="156"/>
  <c r="O56" i="156"/>
  <c r="M56" i="156"/>
  <c r="K56" i="156"/>
  <c r="I56" i="156"/>
  <c r="S56" i="156" s="1"/>
  <c r="E56" i="156"/>
  <c r="O55" i="156"/>
  <c r="K55" i="156"/>
  <c r="K58" i="156" s="1"/>
  <c r="E55" i="156"/>
  <c r="M54" i="156"/>
  <c r="I54" i="156"/>
  <c r="S54" i="156" s="1"/>
  <c r="E54" i="156"/>
  <c r="R53" i="156"/>
  <c r="Q53" i="156"/>
  <c r="O53" i="156"/>
  <c r="K53" i="156"/>
  <c r="H53" i="156"/>
  <c r="G53" i="156"/>
  <c r="F53" i="156"/>
  <c r="P52" i="156"/>
  <c r="M52" i="156" s="1"/>
  <c r="L52" i="156"/>
  <c r="I52" i="156" s="1"/>
  <c r="S52" i="156" s="1"/>
  <c r="E52" i="156"/>
  <c r="M51" i="156"/>
  <c r="L51" i="156"/>
  <c r="I51" i="156" s="1"/>
  <c r="E51" i="156"/>
  <c r="E50" i="156"/>
  <c r="E49" i="156"/>
  <c r="M48" i="156"/>
  <c r="L48" i="156"/>
  <c r="I48" i="156" s="1"/>
  <c r="E48" i="156"/>
  <c r="P47" i="156"/>
  <c r="M47" i="156" s="1"/>
  <c r="L47" i="156"/>
  <c r="I47" i="156" s="1"/>
  <c r="E47" i="156"/>
  <c r="P46" i="156"/>
  <c r="M46" i="156" s="1"/>
  <c r="I46" i="156"/>
  <c r="S46" i="156" s="1"/>
  <c r="E46" i="156"/>
  <c r="P45" i="156"/>
  <c r="L45" i="156"/>
  <c r="E45" i="156"/>
  <c r="J53" i="156"/>
  <c r="E44" i="156"/>
  <c r="M43" i="156"/>
  <c r="I43" i="156"/>
  <c r="S43" i="156" s="1"/>
  <c r="E43" i="156"/>
  <c r="R42" i="156"/>
  <c r="Q42" i="156"/>
  <c r="P42" i="156"/>
  <c r="O42" i="156"/>
  <c r="N42" i="156"/>
  <c r="L42" i="156"/>
  <c r="J42" i="156"/>
  <c r="H42" i="156"/>
  <c r="G42" i="156"/>
  <c r="F42" i="156"/>
  <c r="E42" i="156"/>
  <c r="N41" i="156"/>
  <c r="M41" i="156"/>
  <c r="M42" i="156" s="1"/>
  <c r="K41" i="156"/>
  <c r="K42" i="156" s="1"/>
  <c r="I41" i="156"/>
  <c r="S41" i="156" s="1"/>
  <c r="S42" i="156" s="1"/>
  <c r="R40" i="156"/>
  <c r="Q40" i="156"/>
  <c r="P40" i="156"/>
  <c r="O40" i="156"/>
  <c r="L40" i="156"/>
  <c r="H40" i="156"/>
  <c r="G40" i="156"/>
  <c r="F40" i="156"/>
  <c r="N39" i="156"/>
  <c r="M39" i="156" s="1"/>
  <c r="M40" i="156" s="1"/>
  <c r="K39" i="156"/>
  <c r="K40" i="156" s="1"/>
  <c r="J39" i="156"/>
  <c r="J40" i="156" s="1"/>
  <c r="E39" i="156"/>
  <c r="E40" i="156" s="1"/>
  <c r="R37" i="156"/>
  <c r="Q37" i="156"/>
  <c r="P37" i="156"/>
  <c r="O37" i="156"/>
  <c r="L37" i="156"/>
  <c r="K37" i="156"/>
  <c r="H37" i="156"/>
  <c r="G37" i="156"/>
  <c r="F37" i="156"/>
  <c r="N36" i="156"/>
  <c r="N37" i="156" s="1"/>
  <c r="J36" i="156"/>
  <c r="J37" i="156" s="1"/>
  <c r="E36" i="156"/>
  <c r="E37" i="156" s="1"/>
  <c r="R35" i="156"/>
  <c r="Q35" i="156"/>
  <c r="P35" i="156"/>
  <c r="O35" i="156"/>
  <c r="L35" i="156"/>
  <c r="K35" i="156"/>
  <c r="H35" i="156"/>
  <c r="G35" i="156"/>
  <c r="F35" i="156"/>
  <c r="N34" i="156"/>
  <c r="N35" i="156" s="1"/>
  <c r="J34" i="156"/>
  <c r="I34" i="156" s="1"/>
  <c r="E34" i="156"/>
  <c r="E35" i="156" s="1"/>
  <c r="R33" i="156"/>
  <c r="Q33" i="156"/>
  <c r="P33" i="156"/>
  <c r="L33" i="156"/>
  <c r="H33" i="156"/>
  <c r="G33" i="156"/>
  <c r="F33" i="156"/>
  <c r="O32" i="156"/>
  <c r="O33" i="156" s="1"/>
  <c r="K32" i="156"/>
  <c r="K33" i="156" s="1"/>
  <c r="E32" i="156"/>
  <c r="N31" i="156"/>
  <c r="M31" i="156" s="1"/>
  <c r="J31" i="156"/>
  <c r="I31" i="156" s="1"/>
  <c r="S31" i="156" s="1"/>
  <c r="M30" i="156"/>
  <c r="J30" i="156"/>
  <c r="I30" i="156" s="1"/>
  <c r="S30" i="156" s="1"/>
  <c r="E30" i="156"/>
  <c r="M29" i="156"/>
  <c r="J29" i="156"/>
  <c r="I29" i="156" s="1"/>
  <c r="S29" i="156" s="1"/>
  <c r="E29" i="156"/>
  <c r="M28" i="156"/>
  <c r="I28" i="156"/>
  <c r="S28" i="156" s="1"/>
  <c r="E28" i="156"/>
  <c r="N27" i="156"/>
  <c r="M27" i="156" s="1"/>
  <c r="J27" i="156"/>
  <c r="I27" i="156" s="1"/>
  <c r="E27" i="156"/>
  <c r="N26" i="156"/>
  <c r="M26" i="156"/>
  <c r="J26" i="156"/>
  <c r="I26" i="156"/>
  <c r="E26" i="156"/>
  <c r="N25" i="156"/>
  <c r="M25" i="156" s="1"/>
  <c r="J25" i="156"/>
  <c r="E25" i="156"/>
  <c r="R24" i="156"/>
  <c r="R38" i="156" s="1"/>
  <c r="Q24" i="156"/>
  <c r="P24" i="156"/>
  <c r="O24" i="156"/>
  <c r="O38" i="156" s="1"/>
  <c r="N24" i="156"/>
  <c r="L24" i="156"/>
  <c r="K24" i="156"/>
  <c r="H24" i="156"/>
  <c r="H38" i="156" s="1"/>
  <c r="G24" i="156"/>
  <c r="F24" i="156"/>
  <c r="F38" i="156" s="1"/>
  <c r="M23" i="156"/>
  <c r="I23" i="156"/>
  <c r="S23" i="156" s="1"/>
  <c r="E23" i="156"/>
  <c r="J22" i="156"/>
  <c r="J24" i="156" s="1"/>
  <c r="E22" i="156"/>
  <c r="R21" i="156"/>
  <c r="Q21" i="156"/>
  <c r="O21" i="156"/>
  <c r="N21" i="156"/>
  <c r="K21" i="156"/>
  <c r="J21" i="156"/>
  <c r="H21" i="156"/>
  <c r="G21" i="156"/>
  <c r="F21" i="156"/>
  <c r="P20" i="156"/>
  <c r="P21" i="156" s="1"/>
  <c r="L20" i="156"/>
  <c r="L21" i="156" s="1"/>
  <c r="E20" i="156"/>
  <c r="E21" i="156" s="1"/>
  <c r="R19" i="156"/>
  <c r="Q19" i="156"/>
  <c r="N19" i="156"/>
  <c r="L19" i="156"/>
  <c r="J19" i="156"/>
  <c r="H19" i="156"/>
  <c r="G19" i="156"/>
  <c r="P18" i="156"/>
  <c r="P19" i="156" s="1"/>
  <c r="O18" i="156"/>
  <c r="O19" i="156" s="1"/>
  <c r="L18" i="156"/>
  <c r="K18" i="156"/>
  <c r="K19" i="156" s="1"/>
  <c r="E18" i="156"/>
  <c r="E19" i="156" s="1"/>
  <c r="R17" i="156"/>
  <c r="Q17" i="156"/>
  <c r="P17" i="156"/>
  <c r="N17" i="156"/>
  <c r="L17" i="156"/>
  <c r="J17" i="156"/>
  <c r="H17" i="156"/>
  <c r="G17" i="156"/>
  <c r="O16" i="156"/>
  <c r="O17" i="156" s="1"/>
  <c r="K16" i="156"/>
  <c r="K17" i="156" s="1"/>
  <c r="E16" i="156"/>
  <c r="E17" i="156" s="1"/>
  <c r="R15" i="156"/>
  <c r="Q15" i="156"/>
  <c r="P15" i="156"/>
  <c r="N15" i="156"/>
  <c r="L15" i="156"/>
  <c r="J15" i="156"/>
  <c r="H15" i="156"/>
  <c r="G15" i="156"/>
  <c r="K14" i="156"/>
  <c r="K15" i="156" s="1"/>
  <c r="E14" i="156"/>
  <c r="E15" i="156" s="1"/>
  <c r="R13" i="156"/>
  <c r="Q13" i="156"/>
  <c r="P13" i="156"/>
  <c r="N13" i="156"/>
  <c r="L13" i="156"/>
  <c r="J13" i="156"/>
  <c r="H13" i="156"/>
  <c r="H91" i="156" s="1"/>
  <c r="G13" i="156"/>
  <c r="O12" i="156"/>
  <c r="O13" i="156" s="1"/>
  <c r="K12" i="156"/>
  <c r="K13" i="156" s="1"/>
  <c r="E12" i="156"/>
  <c r="E13" i="156" s="1"/>
  <c r="S27" i="156" l="1"/>
  <c r="S71" i="156"/>
  <c r="S73" i="156"/>
  <c r="S75" i="156"/>
  <c r="E33" i="156"/>
  <c r="M79" i="156"/>
  <c r="L38" i="156"/>
  <c r="S26" i="156"/>
  <c r="O58" i="156"/>
  <c r="K63" i="156"/>
  <c r="K88" i="156" s="1"/>
  <c r="K91" i="156" s="1"/>
  <c r="P63" i="156"/>
  <c r="S61" i="156"/>
  <c r="I79" i="156"/>
  <c r="S66" i="156"/>
  <c r="S68" i="156"/>
  <c r="S70" i="156"/>
  <c r="S74" i="156"/>
  <c r="G88" i="156"/>
  <c r="S83" i="156"/>
  <c r="M24" i="156"/>
  <c r="S60" i="156"/>
  <c r="S62" i="156"/>
  <c r="Q38" i="156"/>
  <c r="J33" i="156"/>
  <c r="J35" i="156"/>
  <c r="J38" i="156" s="1"/>
  <c r="E24" i="156"/>
  <c r="E38" i="156" s="1"/>
  <c r="G38" i="156"/>
  <c r="G91" i="156" s="1"/>
  <c r="N40" i="156"/>
  <c r="E53" i="156"/>
  <c r="E58" i="156"/>
  <c r="I55" i="156"/>
  <c r="S55" i="156" s="1"/>
  <c r="L79" i="156"/>
  <c r="S65" i="156"/>
  <c r="S67" i="156"/>
  <c r="S69" i="156"/>
  <c r="S78" i="156"/>
  <c r="S84" i="156"/>
  <c r="F88" i="156"/>
  <c r="F91" i="156" s="1"/>
  <c r="Q88" i="156"/>
  <c r="S86" i="156"/>
  <c r="M63" i="156"/>
  <c r="R88" i="156"/>
  <c r="R91" i="156" s="1"/>
  <c r="Q91" i="156"/>
  <c r="I22" i="156"/>
  <c r="I24" i="156" s="1"/>
  <c r="K38" i="156"/>
  <c r="P38" i="156"/>
  <c r="I25" i="156"/>
  <c r="M34" i="156"/>
  <c r="M35" i="156" s="1"/>
  <c r="M55" i="156"/>
  <c r="E63" i="156"/>
  <c r="E79" i="156"/>
  <c r="P79" i="156"/>
  <c r="M80" i="156"/>
  <c r="P53" i="156"/>
  <c r="P88" i="156" s="1"/>
  <c r="P91" i="156" s="1"/>
  <c r="S48" i="156"/>
  <c r="M58" i="156"/>
  <c r="S85" i="156"/>
  <c r="N33" i="156"/>
  <c r="N38" i="156" s="1"/>
  <c r="N91" i="156" s="1"/>
  <c r="L53" i="156"/>
  <c r="S82" i="156"/>
  <c r="O87" i="156"/>
  <c r="M87" i="156"/>
  <c r="S81" i="156"/>
  <c r="S47" i="156"/>
  <c r="S51" i="156"/>
  <c r="S57" i="156"/>
  <c r="S77" i="156"/>
  <c r="N88" i="156"/>
  <c r="L88" i="156"/>
  <c r="L91" i="156" s="1"/>
  <c r="S58" i="156"/>
  <c r="J88" i="156"/>
  <c r="O88" i="156"/>
  <c r="O91" i="156" s="1"/>
  <c r="I12" i="156"/>
  <c r="M12" i="156"/>
  <c r="M13" i="156" s="1"/>
  <c r="I14" i="156"/>
  <c r="M14" i="156"/>
  <c r="M15" i="156" s="1"/>
  <c r="I16" i="156"/>
  <c r="M16" i="156"/>
  <c r="M17" i="156" s="1"/>
  <c r="I18" i="156"/>
  <c r="I20" i="156"/>
  <c r="M20" i="156"/>
  <c r="M21" i="156" s="1"/>
  <c r="S22" i="156"/>
  <c r="S24" i="156" s="1"/>
  <c r="I32" i="156"/>
  <c r="M32" i="156"/>
  <c r="M33" i="156" s="1"/>
  <c r="I35" i="156"/>
  <c r="I36" i="156"/>
  <c r="M36" i="156"/>
  <c r="M37" i="156" s="1"/>
  <c r="I39" i="156"/>
  <c r="I42" i="156"/>
  <c r="I44" i="156"/>
  <c r="M44" i="156"/>
  <c r="I45" i="156"/>
  <c r="M45" i="156"/>
  <c r="I58" i="156"/>
  <c r="I59" i="156"/>
  <c r="E80" i="156"/>
  <c r="E87" i="156" s="1"/>
  <c r="E88" i="156" s="1"/>
  <c r="E91" i="156" s="1"/>
  <c r="I80" i="156"/>
  <c r="M18" i="156"/>
  <c r="M19" i="156" s="1"/>
  <c r="S25" i="156"/>
  <c r="S64" i="156"/>
  <c r="S79" i="156" s="1"/>
  <c r="S89" i="156"/>
  <c r="S45" i="156" l="1"/>
  <c r="M38" i="156"/>
  <c r="M53" i="156"/>
  <c r="S34" i="156"/>
  <c r="S35" i="156" s="1"/>
  <c r="J91" i="156"/>
  <c r="M88" i="156"/>
  <c r="M91" i="156" s="1"/>
  <c r="I53" i="156"/>
  <c r="S44" i="156"/>
  <c r="S53" i="156" s="1"/>
  <c r="S39" i="156"/>
  <c r="S40" i="156" s="1"/>
  <c r="I40" i="156"/>
  <c r="I37" i="156"/>
  <c r="S36" i="156"/>
  <c r="S37" i="156" s="1"/>
  <c r="I21" i="156"/>
  <c r="S20" i="156"/>
  <c r="S21" i="156" s="1"/>
  <c r="I87" i="156"/>
  <c r="S80" i="156"/>
  <c r="S87" i="156" s="1"/>
  <c r="I63" i="156"/>
  <c r="S59" i="156"/>
  <c r="S63" i="156" s="1"/>
  <c r="I19" i="156"/>
  <c r="S18" i="156"/>
  <c r="S19" i="156" s="1"/>
  <c r="I17" i="156"/>
  <c r="S16" i="156"/>
  <c r="S17" i="156" s="1"/>
  <c r="I15" i="156"/>
  <c r="S14" i="156"/>
  <c r="S15" i="156" s="1"/>
  <c r="I13" i="156"/>
  <c r="S12" i="156"/>
  <c r="S13" i="156" s="1"/>
  <c r="S32" i="156"/>
  <c r="S33" i="156" s="1"/>
  <c r="S38" i="156" s="1"/>
  <c r="I33" i="156"/>
  <c r="I38" i="156" s="1"/>
  <c r="I88" i="156" l="1"/>
  <c r="I91" i="156" s="1"/>
  <c r="S88" i="156"/>
  <c r="S91" i="156" s="1"/>
</calcChain>
</file>

<file path=xl/sharedStrings.xml><?xml version="1.0" encoding="utf-8"?>
<sst xmlns="http://schemas.openxmlformats.org/spreadsheetml/2006/main" count="113" uniqueCount="96">
  <si>
    <t>ІНФОРМАЦІЯ</t>
  </si>
  <si>
    <t>грн.</t>
  </si>
  <si>
    <t xml:space="preserve">Код тимчасової класифікації видатків </t>
  </si>
  <si>
    <t>Підпрограма</t>
  </si>
  <si>
    <t xml:space="preserve">Код економічної класифікації видатків </t>
  </si>
  <si>
    <t>Найменування коду економічної класифікації видатків та назва об'єкта відповідно до проектно-кошторисної документації</t>
  </si>
  <si>
    <t xml:space="preserve">у тому числі за рахунок коштів </t>
  </si>
  <si>
    <t xml:space="preserve">Профінансовано  на звітну дату </t>
  </si>
  <si>
    <t xml:space="preserve">Проведено касових видатків  на звітну дату </t>
  </si>
  <si>
    <t>Залишок коштів на рахунках головних розпорядників коштів, розпорядників коштів нижчого рівня та отримувачів на звітну дату</t>
  </si>
  <si>
    <t>обласного бюджету</t>
  </si>
  <si>
    <t xml:space="preserve"> субвенції з державного бюджету</t>
  </si>
  <si>
    <t xml:space="preserve"> субвенції з районних та міських бюджетів </t>
  </si>
  <si>
    <t xml:space="preserve"> субвенції з державного бюджету </t>
  </si>
  <si>
    <t xml:space="preserve">субвенції з районних та міських бюджетів </t>
  </si>
  <si>
    <t>проведено касових видатків на звітну дату</t>
  </si>
  <si>
    <t>ВСЬОГО</t>
  </si>
  <si>
    <t xml:space="preserve">Співфінансування івестиційних проетів, які передбачається фінансувати у 2019 році в рамках здійснення заходів щодо соціально-економічного розвитку окремих територій </t>
  </si>
  <si>
    <t xml:space="preserve">Реконструкція загальноосвітньої школи І-ІІІ ступенів, Побузької селищної ради за адресою:  селище Побузьке, вул.Шкільна,8 Голованівського району Кіровоградської  області </t>
  </si>
  <si>
    <t>Реконструкція Новопразької ЗШ I-III ст. №2 по вул. Леніна, 101 сел.Нова Прага Олександрійського району Кіровоградської області</t>
  </si>
  <si>
    <t>Реконструкція комунального закладу "Обласна спеціалізована дитячо-юнацька школа олімпійського резерву - 2" по вул.Академіка Тамма, 2  м.Кропивницький</t>
  </si>
  <si>
    <t>3142</t>
  </si>
  <si>
    <t>Реконструкція загальноосвітньої школи І-ІІІ ступенів  №8 Світловодської міської ради Кіровоградської області по вул. Труда,86, смт Власівка м.Світловодськ Кіровоградської області (із виготовленням проектно-кошторисної документації)</t>
  </si>
  <si>
    <t>Будівництво дошкільного навчального закладу на 120 місць по вул.Пушкіна в смт Голованівськ Кіровоградської області</t>
  </si>
  <si>
    <t>Будівництво сільської лікарської амбулаторії за адресою: вул.Пушкіна,37, с.Новий Стародуб, Петрівського району Кіровоградської області (з виготовленням проектно-кошторисної документації)</t>
  </si>
  <si>
    <t>Нове будівництво меморіального комплексу "Лита Могила", розташованого на території Трепівської сільської ради Знам'янського району, Кіровоградської області (з виготоівленням проектно-кошторисної документації)</t>
  </si>
  <si>
    <t>Будівництво сільської лікарської амбулаторії за адресою: вул.Революційна , 1, смт.Капітанівка, Новомиргородського району, Кіровоградської області (з виготовленням проектно-кошторисної документації)</t>
  </si>
  <si>
    <t>Будівництво сільської лікарської амбулаторії за адресою: вул.Шкільна, 1а, с.Іванівка, Новоукраїнського району, Кіровоградської області  (з виготовленням проектно-кошторисної документації)</t>
  </si>
  <si>
    <t>Будівництво сільської лікарської амбулаторії за адресою: вул.Миру, 13, смт.Пантаївка м.Олександрія, Кіровоградської області (з виготовленням проектно-кошторисної документації)</t>
  </si>
  <si>
    <t>Проведення санації (капітальний ремонт) будівлі Торговицької ЗШ І-ІІІ ступенів ім.Є.Ф.Маланюка Торговицького навчально-виховного об’єднання Новоархангельської районної ради Кіровоградської області по вул.І.Сірка, 17, с.Торговиця, Новоархангельського району, Кіровоградської області (коригування проектно-кошторисної документації зі спортзалом)</t>
  </si>
  <si>
    <t>Капітальний ремонт вул.Єгорова у м.Світловодськ, Кіровоградської області (коригування)</t>
  </si>
  <si>
    <t>Реконструкція будівлі комунального закладу Кіровоградська обласна спеціалізована дитячо-юнацька спортивна школа олімпійського резерву "Надія" розташована за адресою:вул.Велика Пермська,1,в м.Кропивницькому(з виготовленням проектно-кошторисної документації)</t>
  </si>
  <si>
    <t>Реконструкція спортивного майданчика під універсальний майданчик для спортивних ігор (футбол, баскетбол, волейбол, гандбол) із штучним покриттям у Петрівській ЗШ І-ІІІ ступенів, що розташована по вул. Молодіжна, 55, с. Козацьке Петрівського району Кіровоградської області</t>
  </si>
  <si>
    <t xml:space="preserve">Будівництво Долинського групового водопроводу водопостачання м.Долинська Кіровоградської області.Коригування </t>
  </si>
  <si>
    <t>по головному розпоряднику коштів Управління містобудування, архітектури та капітального будівництва Кіровоградської ОДА</t>
  </si>
  <si>
    <t>Заплановані видатки на 2020 рік з урахуванням змін, разом</t>
  </si>
  <si>
    <t>Із загального обсягу видатків — кошти на погашення заборгованості. Яка утворилася станом на 01.01.2020 р.</t>
  </si>
  <si>
    <t>заплановані видатки 2020 рік з урахуванням змін</t>
  </si>
  <si>
    <t>Капітальний ремонт - заміна віконних блоків на металопластикові з енергозберігаючими склопакетами в комплексі будівель (навчальний комплекс; їдальня; пральня) у Новомиргородській спеціальній загальноосвітній школі-інтернат І-ІІІ ступенів Кіровоградської обласної ради за адресою: Кіровоградська область, м.Новомиргород, вул. Маяковського, 20</t>
  </si>
  <si>
    <t>Капітальний ремонт м’якої покрівлі спального корпусу у комунальному закладі "Центральноукраїнський ліцей-інтернат спортивного профілю Кіровоградської обласної ради", що розташований у Кіровоградській області, м. Олександрія, смт. Пантаївка, вул. Шкільна, 1</t>
  </si>
  <si>
    <t>Капітальний ремонт даху навчальної майстерні  ДНЗ  " Благовіщенський професійний ліцей" розташованого за адресою : Кіровоградська область, Благовіщенський район, м. Благовіщенське, вул. Гагаріна, 17</t>
  </si>
  <si>
    <t>ВСЬОГО по 1611030</t>
  </si>
  <si>
    <t>ВСЬОГО по 1611050</t>
  </si>
  <si>
    <t>ВСЬОГО по 1611110</t>
  </si>
  <si>
    <t>ВСЬОГО по 1615045</t>
  </si>
  <si>
    <t>ВСЬОГО по 1617321</t>
  </si>
  <si>
    <t>Будівництво приміщення для розміщення спортивної зали комунального закладу "Центральноукраїнський науковий ліцей-інтернат Кіровоградської обласної ради" за адресою: вул. Дворцова 5/5 у м. Кропивницький (з виготовленням проектно-кошторисної документації).</t>
  </si>
  <si>
    <t>ВСЬОГО по 1617322</t>
  </si>
  <si>
    <t>Капітальний ремонт сходової клітини будівлі інфекційного відділення Кіровоградської обласної лікарні по просп. Університетському, 2/5 у м.Кропивницький (з виготовленням проектно-кошторисної документації)</t>
  </si>
  <si>
    <t>Капітальний ремонт ургентної операційної, яка знаходиться в корпусі № 3 Кіровоградської обласної лікарні за адресою: проспект Університетський, 2/5, м. Кропивницький (з виготовленням проектно-кошторисної документації)</t>
  </si>
  <si>
    <t>Реконструкція частини приміщень першого поверху територіального медичного об’єднання "Центр екстреної медичної допомоги та медицини катастроф у Кіровоградській області" під розміщення єдиної централізованої диспетчерської служби за адресою: м. Кропивницький, вул. Комарова, 56 (з виготовленням проектно-кошторисної документації)</t>
  </si>
  <si>
    <t>Кіровоградська обласна дитяча лікарня по вул. Преображенській, 79/35, м. Кіровоград — реконструкція</t>
  </si>
  <si>
    <t>Реконструкція приймального відділення комунального некомерційного підприємства "Кіровоградська обласна лікарня Кіровоградської обласної ради" за адресою: просп. Університетський, 2/5, м. Кропивницький (з виготовленням проектно-кошторисної документації)</t>
  </si>
  <si>
    <t>Реконструкція приймального відділення комунального некомерційного підприємства "Міська лікарня швидкої медичної допомоги" Міської ради міста Кропивницького" за адресою: вул. Короленка, 56, м. Кропивницький (з виготовленням проектно-кошторисної документації)</t>
  </si>
  <si>
    <t>Реконструкція приймального відділення комунального підприємства "Центральна міська лікарня м. Олександрії Олександрійської міської ради" за адресою: вул. Ярмаркова, 15, м. Олександрія (з виготовленням проектно-кошторисної документації)</t>
  </si>
  <si>
    <t>Реконструкція приймального відділення комунального некомерційного підприємства "Знам’янська міська лікарня імені А.В.Лисенка" за адресою: вул.М.Грушевського, 15, м.Знам’янка (з виготовленням проектно-кошторисної документації)</t>
  </si>
  <si>
    <t>Реконструкція приймального відділення комунального некомерційного підприємства "Добровеличківська центральна районна лікарня" Добровеличківської районної ради Кіровоградської області за адресою: пров.Аркадія Артюха, 10, смт. Добровеличківка (з виготовленням проектно-кошторисної документації)</t>
  </si>
  <si>
    <t>Реконструкція локальної комп’ютерної мережі комунального некомерційного підприємства "Кіровоградська обласна лікарня Кіровоградської обласної ради" за адресою: просп.Університетський, 2/5, м. Кропивницький (з виготовленням проектно-кошторисної документації)</t>
  </si>
  <si>
    <t>ВСЬОГО по 1617323</t>
  </si>
  <si>
    <t>ВСЬОГО по 1617330</t>
  </si>
  <si>
    <t>Співфінансування інвестиційних проектів, які передбачається фінансувати у 2020 році за рахунок коштів державного фонду регіонального розвитку</t>
  </si>
  <si>
    <t>Будівництво дошкільного навчального закладу за адресою: вул.Польова, 2-в, с.Черняхівка Кіровоградського району Кіровоградської області</t>
  </si>
  <si>
    <t>Реконструкція позашкільного закладу "Кіровоградський обласний центр дитячої та юнацької творчості" по вул. Калініна, 36 в м. Кіровограді (коригування)</t>
  </si>
  <si>
    <t>Добудова приміщень репетиційної зали для академічного театру музики, пісні і танцю "Зоряни" Кіровоградської обласної філармонії за адресою: вул.Кавалерійська, 8 в м.Кропивницький – реставрація. Коригування</t>
  </si>
  <si>
    <t>ВСЬОГО по 1617361</t>
  </si>
  <si>
    <t>ВСЬОГО по 1617363</t>
  </si>
  <si>
    <t>ВСЬОГО по 1617368</t>
  </si>
  <si>
    <t>ВСЬОГО по 1617360</t>
  </si>
  <si>
    <t>Реконструкція дошкільного навчального закладу №7 "Козачок", корпус 2 по вул.Чайковського, 15  у м.Знам’янка Кіровоградської області (коригування)</t>
  </si>
  <si>
    <t>Реконструкція спортивного майданчика Олександрівського НВК КЗ "Олександрівське НВО № 2" Олександрівської районної ради Кіровоградської області, за адресою: смт Олександрівка вул.Незалежності України, 89 (з виготовленням проектно-кошторисної документації)</t>
  </si>
  <si>
    <t>Капітальний ремонт будівлі ДНЗ №17, площа Покровська, 8,  місто Олександрія, Кіровоградська область</t>
  </si>
  <si>
    <t>Реконструкція приймального відділення комунального некомерційного підприємства "Центральна районна лікарня" Гайворонської районної ради" за адресою: вул.Київська, 7, м.Гайворон  (з виготовленням проектно-кошторисної документації)</t>
  </si>
  <si>
    <t xml:space="preserve">Реконструкція міського стадіону “Колос” за адресою: вул.Спортивна, 14а, м.Мала Виска Кіровоградська область (з виготовленням проєктно-кошторисної документації) </t>
  </si>
  <si>
    <t>Реконструкція спортивного майданчика Златопільської гімназії м.Новомиргород Новомиргородської районної ради Кіровоградської області, за адресою: м.Новомиргород, вул.Миколи Зерова, 20, у тому числі:</t>
  </si>
  <si>
    <t>Ліна Малик  32 27 36</t>
  </si>
  <si>
    <t>Обсяг витрат на присудження премії у галузі архітектури, геральдики та вексилології і декоративно-прикладного мистецтва</t>
  </si>
  <si>
    <t>Реконструкція спортивного майданчику комунального закладу "Навчально-виховний комплекс" Долинська гімназія-загальноосвітня школа I-III ступенів №3 Долинської районної ради" за адресою вул.Ольгерда Бочковського,13 м. Долинська, Долинський район, Кіровоградська область (з виготовленням проектно-кошторисної документації)</t>
  </si>
  <si>
    <t>Реконструкція даху, стін з утепленням у корпусі №1 ДНЗ "Ромашка" смт Добровеличківка Добровеличківського району Кіровоградської області</t>
  </si>
  <si>
    <t>Реконструкція даху (влаштування шатрового даху) будівлі КЗ "Центр соціально-психологічної реабілітації дітей" Кіровоградської обласної ради, за адресою: Кіровоградська область, м.Кропивницький, вул.Короленка, 50 Коригування проекту</t>
  </si>
  <si>
    <t>Реконструкція спортивного майданчика в комунальному закладі "Навчально-виховний комплекс "Загальноосвітній навчальний заклад І-ІІІ ступенів № 26 - дошкільний навчальний заклад - дитячий юнацький центр "Зорецвіт" Кіровоградської міської ради Кіровоградської області" за адресою: Студентський бульвар, 21, м.Кропивницький (з виготовленням проектно-кошторисної документації)</t>
  </si>
  <si>
    <t>ВСЬОГО по 1617325</t>
  </si>
  <si>
    <t>Реконструкція зовнішніх електромереж комунального закладу "Обласна спеціалізована дитячо-юнацька школа олімпійського резерву - 2" по вул.Академіка Тамма, 2 м.Кропивницький (з виготовленням проєктно-кошторисної документації)</t>
  </si>
  <si>
    <t>ВСЬГО по 1617461</t>
  </si>
  <si>
    <t>ВСЬОГО по 1611180</t>
  </si>
  <si>
    <t>3132</t>
  </si>
  <si>
    <t>Капітальний ремонт покрівлі Помічнянської загальноосвітньої школи I-III ступенів №3 Помічнянської міської ради Кіровоградської оьласті</t>
  </si>
  <si>
    <t>ВСЬОГО по 1617369</t>
  </si>
  <si>
    <t>ВСЬОГО по 1617340</t>
  </si>
  <si>
    <t>Реконструкція приймального відділення комунального некомерційного підприємства "Світловодська центральна районна лікарня" Світловодської міської ради за адресою: вул. Павлова, 16, м. Світловодськ (хірургічний корпус, який хнаходиться за (адресою: м.Світловодськ, вул.Героїв України,110) (з виготовленням проектно-кошторисної документації)</t>
  </si>
  <si>
    <t>ВСЬОГО по 1617367</t>
  </si>
  <si>
    <t>ВСЬОГО по 1617320</t>
  </si>
  <si>
    <t>Нове будівництво будівлі центру надання адміністративних послуг за адресою: вул.Центральна,92-к с.Войнівка, Олександрійського району, Кіровоградської області</t>
  </si>
  <si>
    <t>Реконструкція будівель, споруд, комунікацій та облаштування прилеглої території комунального некомерційного підприємства "Новоукраїнська центральна районна лікарня" Новоукраїнської районної ради (адреса 27100, Кіровоградська область, м.Новоукраїнка, провулок Лікарнянний, 1)" (з виготовленням проектно-кошторисної документації)</t>
  </si>
  <si>
    <t>Ремонтно-реставраційні роботи по відновленню даху частини будівлі (літера А2,А3) по вул.Гоголя, 44 у м.Кропивницький</t>
  </si>
  <si>
    <t xml:space="preserve"> </t>
  </si>
  <si>
    <t>про видатки, фінансування яких проводиться у 2020 році за рахунок коштів бюджету розвитку обласного бюджету станом на 31 грудня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</si>
</sst>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2" x14ac:knownFonts="1">
    <font>
      <sz val="10"/>
      <name val="Arial Cyr"/>
      <family val="2"/>
      <charset val="204"/>
    </font>
    <font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0"/>
      <name val="Arial Cyr"/>
      <family val="2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8"/>
      <color indexed="8"/>
      <name val="Times New Roman Cyr"/>
      <family val="1"/>
      <charset val="204"/>
    </font>
    <font>
      <sz val="28"/>
      <name val="Times New Roman Cyr"/>
      <family val="1"/>
      <charset val="204"/>
    </font>
    <font>
      <sz val="28"/>
      <name val="Times New Roman"/>
      <family val="1"/>
      <charset val="204"/>
    </font>
    <font>
      <sz val="36"/>
      <name val="Times New Roman"/>
      <family val="1"/>
      <charset val="204"/>
    </font>
    <font>
      <b/>
      <sz val="28"/>
      <name val="Times New Roman Cyr"/>
      <family val="1"/>
      <charset val="204"/>
    </font>
    <font>
      <sz val="28"/>
      <color indexed="8"/>
      <name val="Times New Roman"/>
      <family val="1"/>
      <charset val="204"/>
    </font>
    <font>
      <b/>
      <sz val="28"/>
      <color indexed="8"/>
      <name val="Times New Roman Cyr"/>
      <family val="1"/>
      <charset val="204"/>
    </font>
    <font>
      <b/>
      <sz val="32"/>
      <name val="Arial"/>
      <family val="2"/>
      <charset val="204"/>
    </font>
    <font>
      <sz val="28"/>
      <name val="Arial Cyr"/>
      <family val="2"/>
      <charset val="204"/>
    </font>
    <font>
      <sz val="48"/>
      <name val="Arial Cyr"/>
      <family val="2"/>
      <charset val="204"/>
    </font>
    <font>
      <sz val="28"/>
      <color indexed="8"/>
      <name val="Times New Roman Cyr"/>
      <charset val="204"/>
    </font>
    <font>
      <sz val="28"/>
      <name val="Times New Roman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43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0" tint="-0.249977111117893"/>
        <bgColor indexed="43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" fontId="3" fillId="2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3" fillId="2" borderId="0" xfId="0" applyFont="1" applyFill="1"/>
    <xf numFmtId="4" fontId="1" fillId="2" borderId="0" xfId="0" applyNumberFormat="1" applyFont="1" applyFill="1"/>
    <xf numFmtId="4" fontId="1" fillId="0" borderId="0" xfId="0" applyNumberFormat="1" applyFont="1" applyFill="1"/>
    <xf numFmtId="4" fontId="18" fillId="2" borderId="0" xfId="0" applyNumberFormat="1" applyFont="1" applyFill="1"/>
    <xf numFmtId="4" fontId="19" fillId="2" borderId="0" xfId="0" applyNumberFormat="1" applyFont="1" applyFill="1"/>
    <xf numFmtId="4" fontId="2" fillId="2" borderId="0" xfId="0" applyNumberFormat="1" applyFont="1" applyFill="1"/>
    <xf numFmtId="0" fontId="0" fillId="9" borderId="0" xfId="0" applyFill="1"/>
    <xf numFmtId="0" fontId="2" fillId="9" borderId="0" xfId="0" applyFont="1" applyFill="1"/>
    <xf numFmtId="0" fontId="1" fillId="9" borderId="0" xfId="0" applyFont="1" applyFill="1"/>
    <xf numFmtId="164" fontId="21" fillId="0" borderId="1" xfId="0" applyNumberFormat="1" applyFont="1" applyFill="1" applyBorder="1" applyAlignment="1">
      <alignment vertical="top" wrapText="1"/>
    </xf>
    <xf numFmtId="1" fontId="10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left" wrapText="1"/>
    </xf>
    <xf numFmtId="4" fontId="13" fillId="3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horizontal="right"/>
    </xf>
    <xf numFmtId="4" fontId="13" fillId="4" borderId="1" xfId="0" applyNumberFormat="1" applyFont="1" applyFill="1" applyBorder="1" applyAlignment="1">
      <alignment horizontal="right"/>
    </xf>
    <xf numFmtId="4" fontId="13" fillId="5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horizontal="right" wrapText="1"/>
    </xf>
    <xf numFmtId="4" fontId="4" fillId="1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1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left" vertical="top" wrapText="1"/>
    </xf>
    <xf numFmtId="4" fontId="4" fillId="6" borderId="1" xfId="0" applyNumberFormat="1" applyFont="1" applyFill="1" applyBorder="1" applyAlignment="1"/>
    <xf numFmtId="4" fontId="4" fillId="11" borderId="1" xfId="0" applyNumberFormat="1" applyFont="1" applyFill="1" applyBorder="1" applyAlignment="1">
      <alignment horizontal="center"/>
    </xf>
    <xf numFmtId="4" fontId="4" fillId="11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49" fontId="12" fillId="11" borderId="1" xfId="0" applyNumberFormat="1" applyFont="1" applyFill="1" applyBorder="1" applyAlignment="1">
      <alignment horizontal="center"/>
    </xf>
    <xf numFmtId="4" fontId="13" fillId="11" borderId="1" xfId="0" applyNumberFormat="1" applyFont="1" applyFill="1" applyBorder="1" applyAlignment="1">
      <alignment horizontal="right"/>
    </xf>
    <xf numFmtId="4" fontId="6" fillId="11" borderId="1" xfId="0" applyNumberFormat="1" applyFont="1" applyFill="1" applyBorder="1" applyAlignment="1">
      <alignment horizontal="left"/>
    </xf>
    <xf numFmtId="1" fontId="20" fillId="12" borderId="1" xfId="0" applyNumberFormat="1" applyFont="1" applyFill="1" applyBorder="1" applyAlignment="1">
      <alignment horizontal="left" vertical="center"/>
    </xf>
    <xf numFmtId="4" fontId="13" fillId="13" borderId="1" xfId="0" applyNumberFormat="1" applyFont="1" applyFill="1" applyBorder="1" applyAlignment="1">
      <alignment horizontal="right"/>
    </xf>
    <xf numFmtId="1" fontId="16" fillId="12" borderId="1" xfId="0" applyNumberFormat="1" applyFont="1" applyFill="1" applyBorder="1" applyAlignment="1">
      <alignment horizontal="left" vertical="center"/>
    </xf>
    <xf numFmtId="4" fontId="13" fillId="14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>
      <alignment horizontal="left"/>
    </xf>
    <xf numFmtId="4" fontId="12" fillId="2" borderId="1" xfId="0" applyNumberFormat="1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left"/>
    </xf>
    <xf numFmtId="4" fontId="13" fillId="15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left"/>
    </xf>
    <xf numFmtId="4" fontId="17" fillId="0" borderId="1" xfId="0" applyNumberFormat="1" applyFont="1" applyFill="1" applyBorder="1" applyAlignment="1">
      <alignment horizontal="left"/>
    </xf>
    <xf numFmtId="4" fontId="4" fillId="7" borderId="1" xfId="0" applyNumberFormat="1" applyFont="1" applyFill="1" applyBorder="1" applyAlignment="1">
      <alignment horizontal="right"/>
    </xf>
    <xf numFmtId="4" fontId="13" fillId="11" borderId="1" xfId="0" applyNumberFormat="1" applyFont="1" applyFill="1" applyBorder="1" applyAlignment="1">
      <alignment horizontal="center"/>
    </xf>
    <xf numFmtId="0" fontId="1" fillId="17" borderId="0" xfId="0" applyFont="1" applyFill="1"/>
    <xf numFmtId="0" fontId="1" fillId="13" borderId="0" xfId="0" applyFont="1" applyFill="1"/>
    <xf numFmtId="1" fontId="12" fillId="2" borderId="3" xfId="0" applyNumberFormat="1" applyFont="1" applyFill="1" applyBorder="1" applyAlignment="1"/>
    <xf numFmtId="1" fontId="12" fillId="2" borderId="4" xfId="0" applyNumberFormat="1" applyFont="1" applyFill="1" applyBorder="1" applyAlignment="1"/>
    <xf numFmtId="4" fontId="12" fillId="0" borderId="5" xfId="0" applyNumberFormat="1" applyFont="1" applyFill="1" applyBorder="1" applyAlignment="1">
      <alignment horizontal="left" vertical="top" wrapText="1"/>
    </xf>
    <xf numFmtId="49" fontId="12" fillId="11" borderId="5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left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2" fillId="16" borderId="1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" fontId="16" fillId="15" borderId="1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/>
    </xf>
    <xf numFmtId="4" fontId="14" fillId="10" borderId="1" xfId="0" applyNumberFormat="1" applyFont="1" applyFill="1" applyBorder="1" applyAlignment="1">
      <alignment horizontal="left"/>
    </xf>
    <xf numFmtId="4" fontId="4" fillId="10" borderId="1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4" fontId="6" fillId="10" borderId="1" xfId="0" applyNumberFormat="1" applyFont="1" applyFill="1" applyBorder="1" applyAlignment="1">
      <alignment horizontal="left"/>
    </xf>
    <xf numFmtId="1" fontId="12" fillId="16" borderId="1" xfId="0" applyNumberFormat="1" applyFon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Border="1" applyAlignment="1">
      <alignment horizontal="center" vertical="center"/>
    </xf>
    <xf numFmtId="1" fontId="20" fillId="12" borderId="2" xfId="0" applyNumberFormat="1" applyFont="1" applyFill="1" applyBorder="1" applyAlignment="1">
      <alignment horizontal="center" vertical="center"/>
    </xf>
    <xf numFmtId="1" fontId="20" fillId="12" borderId="3" xfId="0" applyNumberFormat="1" applyFont="1" applyFill="1" applyBorder="1" applyAlignment="1">
      <alignment horizontal="center" vertical="center"/>
    </xf>
    <xf numFmtId="1" fontId="20" fillId="12" borderId="4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left"/>
    </xf>
    <xf numFmtId="4" fontId="6" fillId="6" borderId="7" xfId="0" applyNumberFormat="1" applyFont="1" applyFill="1" applyBorder="1" applyAlignment="1">
      <alignment horizontal="left"/>
    </xf>
    <xf numFmtId="4" fontId="6" fillId="6" borderId="5" xfId="0" applyNumberFormat="1" applyFont="1" applyFill="1" applyBorder="1" applyAlignment="1">
      <alignment horizontal="left"/>
    </xf>
    <xf numFmtId="1" fontId="12" fillId="2" borderId="3" xfId="0" applyNumberFormat="1" applyFont="1" applyFill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 vertical="center"/>
    </xf>
    <xf numFmtId="1" fontId="16" fillId="15" borderId="1" xfId="0" applyNumberFormat="1" applyFont="1" applyFill="1" applyBorder="1" applyAlignment="1">
      <alignment horizontal="left" vertical="center"/>
    </xf>
    <xf numFmtId="1" fontId="12" fillId="16" borderId="2" xfId="0" applyNumberFormat="1" applyFont="1" applyFill="1" applyBorder="1" applyAlignment="1">
      <alignment horizontal="center" vertical="center"/>
    </xf>
    <xf numFmtId="1" fontId="12" fillId="16" borderId="3" xfId="0" applyNumberFormat="1" applyFont="1" applyFill="1" applyBorder="1" applyAlignment="1">
      <alignment horizontal="center" vertical="center"/>
    </xf>
    <xf numFmtId="1" fontId="12" fillId="16" borderId="4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4" fontId="14" fillId="6" borderId="6" xfId="0" applyNumberFormat="1" applyFont="1" applyFill="1" applyBorder="1" applyAlignment="1">
      <alignment horizontal="left"/>
    </xf>
    <xf numFmtId="4" fontId="14" fillId="6" borderId="7" xfId="0" applyNumberFormat="1" applyFont="1" applyFill="1" applyBorder="1" applyAlignment="1">
      <alignment horizontal="left"/>
    </xf>
    <xf numFmtId="4" fontId="14" fillId="6" borderId="5" xfId="0" applyNumberFormat="1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FF"/>
      <rgbColor rgb="00CCFF6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L96"/>
  <sheetViews>
    <sheetView tabSelected="1" view="pageBreakPreview" zoomScale="30" zoomScaleNormal="30" zoomScaleSheetLayoutView="30" zoomScalePageLayoutView="10" workbookViewId="0">
      <selection activeCell="I48" sqref="I48"/>
    </sheetView>
  </sheetViews>
  <sheetFormatPr defaultColWidth="8.375" defaultRowHeight="26.55" customHeight="1" x14ac:dyDescent="0.4"/>
  <cols>
    <col min="1" max="1" width="32.25" style="1" customWidth="1"/>
    <col min="2" max="2" width="35.125" style="1" customWidth="1"/>
    <col min="3" max="3" width="17.125" style="2" customWidth="1"/>
    <col min="4" max="4" width="146.75" style="1" customWidth="1"/>
    <col min="5" max="5" width="50" style="3" customWidth="1"/>
    <col min="6" max="6" width="47.625" style="1" customWidth="1"/>
    <col min="7" max="7" width="47.25" style="1" customWidth="1"/>
    <col min="8" max="8" width="44" style="1" customWidth="1"/>
    <col min="9" max="9" width="48.75" style="4" customWidth="1"/>
    <col min="10" max="10" width="44.375" style="1" customWidth="1"/>
    <col min="11" max="11" width="47" style="1" customWidth="1"/>
    <col min="12" max="12" width="45.625" style="1" customWidth="1"/>
    <col min="13" max="13" width="47.25" style="5" customWidth="1"/>
    <col min="14" max="14" width="44" style="6" customWidth="1"/>
    <col min="15" max="16" width="48" style="6" customWidth="1"/>
    <col min="17" max="17" width="35.375" style="6" customWidth="1"/>
    <col min="18" max="18" width="37.75" style="6" customWidth="1"/>
    <col min="19" max="19" width="43.375" style="6" customWidth="1"/>
    <col min="20" max="20" width="60.375" style="7" customWidth="1"/>
    <col min="21" max="21" width="18.375" style="7" customWidth="1"/>
    <col min="22" max="22" width="20.375" style="7" customWidth="1"/>
    <col min="23" max="23" width="21.375" style="7" customWidth="1"/>
    <col min="24" max="24" width="18.375" style="7" customWidth="1"/>
    <col min="25" max="25" width="17.375" style="7" customWidth="1"/>
    <col min="26" max="31" width="8.375" style="7" customWidth="1"/>
    <col min="32" max="38" width="8.375" style="6" customWidth="1"/>
    <col min="39" max="246" width="8.375" style="1" customWidth="1"/>
  </cols>
  <sheetData>
    <row r="1" spans="1:39" ht="12.8" customHeigh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39" ht="12.8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39" ht="29.3" customHeight="1" x14ac:dyDescent="0.4">
      <c r="A3" s="9"/>
      <c r="B3" s="9"/>
      <c r="C3" s="10"/>
      <c r="D3" s="9"/>
      <c r="E3" s="11"/>
      <c r="F3" s="9"/>
      <c r="G3" s="9"/>
      <c r="H3" s="9"/>
      <c r="I3" s="11"/>
      <c r="J3" s="9"/>
      <c r="K3" s="9"/>
      <c r="L3" s="9"/>
      <c r="M3" s="12"/>
    </row>
    <row r="4" spans="1:39" ht="45.2" customHeight="1" x14ac:dyDescent="0.4">
      <c r="A4" s="9"/>
      <c r="B4" s="9"/>
      <c r="C4" s="10"/>
      <c r="D4" s="9"/>
      <c r="E4" s="11"/>
      <c r="F4" s="9"/>
      <c r="G4" s="9"/>
      <c r="H4" s="9"/>
      <c r="I4" s="11"/>
      <c r="J4" s="9"/>
      <c r="K4" s="9"/>
      <c r="L4" s="9"/>
      <c r="M4" s="12"/>
    </row>
    <row r="5" spans="1:39" ht="42.75" customHeight="1" x14ac:dyDescent="0.4">
      <c r="A5" s="78" t="s">
        <v>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39" ht="41.25" customHeight="1" x14ac:dyDescent="0.4">
      <c r="A6" s="78" t="s">
        <v>95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39" s="15" customFormat="1" ht="45" customHeight="1" x14ac:dyDescent="0.2">
      <c r="A7" s="78" t="s">
        <v>34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4"/>
      <c r="AH7" s="14"/>
      <c r="AI7" s="14"/>
      <c r="AJ7" s="14"/>
      <c r="AK7" s="14"/>
      <c r="AL7" s="14"/>
    </row>
    <row r="8" spans="1:39" ht="24.4" customHeight="1" x14ac:dyDescent="0.4">
      <c r="A8" s="9"/>
      <c r="B8" s="9"/>
      <c r="C8" s="10"/>
      <c r="D8" s="9"/>
      <c r="E8" s="11"/>
      <c r="F8" s="9"/>
      <c r="G8" s="9"/>
      <c r="H8" s="9"/>
      <c r="I8" s="11"/>
      <c r="J8" s="9"/>
      <c r="K8" s="9"/>
      <c r="L8" s="9"/>
      <c r="M8" s="6"/>
      <c r="R8"/>
      <c r="S8" s="16" t="s">
        <v>1</v>
      </c>
    </row>
    <row r="9" spans="1:39" ht="69.400000000000006" customHeight="1" x14ac:dyDescent="0.4">
      <c r="A9" s="79" t="s">
        <v>2</v>
      </c>
      <c r="B9" s="79" t="s">
        <v>3</v>
      </c>
      <c r="C9" s="80" t="s">
        <v>4</v>
      </c>
      <c r="D9" s="79" t="s">
        <v>5</v>
      </c>
      <c r="E9" s="81" t="s">
        <v>35</v>
      </c>
      <c r="F9" s="82" t="s">
        <v>6</v>
      </c>
      <c r="G9" s="82"/>
      <c r="H9" s="82"/>
      <c r="I9" s="83" t="s">
        <v>7</v>
      </c>
      <c r="J9" s="82" t="s">
        <v>6</v>
      </c>
      <c r="K9" s="82"/>
      <c r="L9" s="82"/>
      <c r="M9" s="86" t="s">
        <v>8</v>
      </c>
      <c r="N9" s="82" t="s">
        <v>6</v>
      </c>
      <c r="O9" s="82"/>
      <c r="P9" s="82"/>
      <c r="Q9" s="87" t="s">
        <v>36</v>
      </c>
      <c r="R9" s="87"/>
      <c r="S9" s="84" t="s">
        <v>9</v>
      </c>
    </row>
    <row r="10" spans="1:39" ht="123.05" customHeight="1" x14ac:dyDescent="0.4">
      <c r="A10" s="79"/>
      <c r="B10" s="79"/>
      <c r="C10" s="80"/>
      <c r="D10" s="79"/>
      <c r="E10" s="81"/>
      <c r="F10" s="82" t="s">
        <v>10</v>
      </c>
      <c r="G10" s="82" t="s">
        <v>11</v>
      </c>
      <c r="H10" s="82" t="s">
        <v>12</v>
      </c>
      <c r="I10" s="83"/>
      <c r="J10" s="82" t="s">
        <v>10</v>
      </c>
      <c r="K10" s="82" t="s">
        <v>13</v>
      </c>
      <c r="L10" s="82" t="s">
        <v>14</v>
      </c>
      <c r="M10" s="86"/>
      <c r="N10" s="82" t="s">
        <v>10</v>
      </c>
      <c r="O10" s="82" t="s">
        <v>13</v>
      </c>
      <c r="P10" s="82" t="s">
        <v>12</v>
      </c>
      <c r="Q10" s="85" t="s">
        <v>37</v>
      </c>
      <c r="R10" s="85" t="s">
        <v>15</v>
      </c>
      <c r="S10" s="84"/>
    </row>
    <row r="11" spans="1:39" s="17" customFormat="1" ht="74.95" customHeight="1" x14ac:dyDescent="0.4">
      <c r="A11" s="79"/>
      <c r="B11" s="79"/>
      <c r="C11" s="80"/>
      <c r="D11" s="79"/>
      <c r="E11" s="81"/>
      <c r="F11" s="82"/>
      <c r="G11" s="82"/>
      <c r="H11" s="82"/>
      <c r="I11" s="83"/>
      <c r="J11" s="82"/>
      <c r="K11" s="82"/>
      <c r="L11" s="82"/>
      <c r="M11" s="86"/>
      <c r="N11" s="82"/>
      <c r="O11" s="82"/>
      <c r="P11" s="82"/>
      <c r="Q11" s="85"/>
      <c r="R11" s="85"/>
      <c r="S11" s="84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6"/>
      <c r="AG11" s="6"/>
      <c r="AH11" s="6"/>
      <c r="AI11" s="6"/>
      <c r="AJ11" s="6"/>
      <c r="AK11" s="6"/>
      <c r="AL11" s="6"/>
      <c r="AM11" s="1"/>
    </row>
    <row r="12" spans="1:39" s="19" customFormat="1" ht="259.55" customHeight="1" x14ac:dyDescent="0.7">
      <c r="A12" s="29">
        <v>1611030</v>
      </c>
      <c r="B12" s="29"/>
      <c r="C12" s="30">
        <v>3132</v>
      </c>
      <c r="D12" s="31" t="s">
        <v>38</v>
      </c>
      <c r="E12" s="32">
        <f>SUM(G12:H12)</f>
        <v>710000</v>
      </c>
      <c r="G12" s="33">
        <v>710000</v>
      </c>
      <c r="H12" s="33"/>
      <c r="I12" s="34">
        <f>SUM(J12:L12)</f>
        <v>709969.15</v>
      </c>
      <c r="J12" s="33"/>
      <c r="K12" s="33">
        <f>673369.15+36600</f>
        <v>709969.15</v>
      </c>
      <c r="L12" s="33"/>
      <c r="M12" s="35">
        <f>SUM(N12:P12)</f>
        <v>709969.15</v>
      </c>
      <c r="N12" s="33"/>
      <c r="O12" s="33">
        <f>673369.15+36600</f>
        <v>709969.15</v>
      </c>
      <c r="P12" s="36"/>
      <c r="Q12" s="33"/>
      <c r="R12" s="33"/>
      <c r="S12" s="33">
        <f>I12-M12</f>
        <v>0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18"/>
      <c r="AG12" s="18"/>
      <c r="AH12" s="18"/>
      <c r="AI12" s="18"/>
      <c r="AJ12" s="18"/>
      <c r="AK12" s="18"/>
      <c r="AL12" s="18"/>
    </row>
    <row r="13" spans="1:39" s="19" customFormat="1" ht="43.2" customHeight="1" x14ac:dyDescent="0.65">
      <c r="A13" s="89" t="s">
        <v>41</v>
      </c>
      <c r="B13" s="89"/>
      <c r="C13" s="89"/>
      <c r="D13" s="89"/>
      <c r="E13" s="37">
        <f t="shared" ref="E13:S13" si="0">SUM(E12:E12)</f>
        <v>710000</v>
      </c>
      <c r="F13" s="37"/>
      <c r="G13" s="37">
        <f>SUM(G12)</f>
        <v>710000</v>
      </c>
      <c r="H13" s="37">
        <f t="shared" si="0"/>
        <v>0</v>
      </c>
      <c r="I13" s="37">
        <f t="shared" si="0"/>
        <v>709969.15</v>
      </c>
      <c r="J13" s="37">
        <f t="shared" si="0"/>
        <v>0</v>
      </c>
      <c r="K13" s="37">
        <f t="shared" si="0"/>
        <v>709969.15</v>
      </c>
      <c r="L13" s="37">
        <f t="shared" si="0"/>
        <v>0</v>
      </c>
      <c r="M13" s="37">
        <f t="shared" si="0"/>
        <v>709969.15</v>
      </c>
      <c r="N13" s="37">
        <f t="shared" si="0"/>
        <v>0</v>
      </c>
      <c r="O13" s="37">
        <f t="shared" si="0"/>
        <v>709969.15</v>
      </c>
      <c r="P13" s="37">
        <f t="shared" si="0"/>
        <v>0</v>
      </c>
      <c r="Q13" s="37">
        <f t="shared" si="0"/>
        <v>0</v>
      </c>
      <c r="R13" s="37">
        <f t="shared" si="0"/>
        <v>0</v>
      </c>
      <c r="S13" s="37">
        <f t="shared" si="0"/>
        <v>0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8"/>
      <c r="AG13" s="18"/>
      <c r="AH13" s="18"/>
      <c r="AI13" s="18"/>
      <c r="AJ13" s="18"/>
      <c r="AK13" s="18"/>
      <c r="AL13" s="18"/>
    </row>
    <row r="14" spans="1:39" s="19" customFormat="1" ht="195.05" customHeight="1" x14ac:dyDescent="0.7">
      <c r="A14" s="29">
        <v>1611050</v>
      </c>
      <c r="B14" s="29"/>
      <c r="C14" s="30">
        <v>3132</v>
      </c>
      <c r="D14" s="31" t="s">
        <v>39</v>
      </c>
      <c r="E14" s="32">
        <f>SUM(G14:H14)</f>
        <v>1292000</v>
      </c>
      <c r="G14" s="33">
        <v>1292000</v>
      </c>
      <c r="H14" s="33"/>
      <c r="I14" s="34">
        <f>SUM(J14:L14)</f>
        <v>1132296.72</v>
      </c>
      <c r="J14" s="33"/>
      <c r="K14" s="33">
        <f>338548.92+637527.2+75211.99+9720+71288.51+0.1</f>
        <v>1132296.72</v>
      </c>
      <c r="L14" s="33"/>
      <c r="M14" s="35">
        <f>SUM(N14:P14)</f>
        <v>1132296.7199999997</v>
      </c>
      <c r="N14" s="33"/>
      <c r="O14" s="33">
        <f>338548.92+624780.72+12746.48-338548.92+413760.91+9720+709.95+70578.66</f>
        <v>1132296.7199999997</v>
      </c>
      <c r="P14" s="36"/>
      <c r="Q14" s="33"/>
      <c r="R14" s="33"/>
      <c r="S14" s="33">
        <f>I14-M14</f>
        <v>0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8"/>
      <c r="AG14" s="18"/>
      <c r="AH14" s="18"/>
      <c r="AI14" s="18"/>
      <c r="AJ14" s="18"/>
      <c r="AK14" s="18"/>
      <c r="AL14" s="18"/>
    </row>
    <row r="15" spans="1:39" s="19" customFormat="1" ht="43.2" customHeight="1" x14ac:dyDescent="0.65">
      <c r="A15" s="89" t="s">
        <v>42</v>
      </c>
      <c r="B15" s="89"/>
      <c r="C15" s="89"/>
      <c r="D15" s="89"/>
      <c r="E15" s="37">
        <f t="shared" ref="E15:S15" si="1">SUM(E14:E14)</f>
        <v>1292000</v>
      </c>
      <c r="F15" s="37"/>
      <c r="G15" s="37">
        <f>SUM(G14)</f>
        <v>1292000</v>
      </c>
      <c r="H15" s="37">
        <f t="shared" si="1"/>
        <v>0</v>
      </c>
      <c r="I15" s="37">
        <f t="shared" si="1"/>
        <v>1132296.72</v>
      </c>
      <c r="J15" s="37">
        <f t="shared" si="1"/>
        <v>0</v>
      </c>
      <c r="K15" s="37">
        <f t="shared" si="1"/>
        <v>1132296.72</v>
      </c>
      <c r="L15" s="37">
        <f t="shared" si="1"/>
        <v>0</v>
      </c>
      <c r="M15" s="37">
        <f t="shared" si="1"/>
        <v>1132296.7199999997</v>
      </c>
      <c r="N15" s="37">
        <f t="shared" si="1"/>
        <v>0</v>
      </c>
      <c r="O15" s="37">
        <f t="shared" si="1"/>
        <v>1132296.7199999997</v>
      </c>
      <c r="P15" s="37">
        <f t="shared" si="1"/>
        <v>0</v>
      </c>
      <c r="Q15" s="37">
        <f t="shared" si="1"/>
        <v>0</v>
      </c>
      <c r="R15" s="37">
        <f t="shared" si="1"/>
        <v>0</v>
      </c>
      <c r="S15" s="37">
        <f t="shared" si="1"/>
        <v>0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18"/>
      <c r="AG15" s="18"/>
      <c r="AH15" s="18"/>
      <c r="AI15" s="18"/>
      <c r="AJ15" s="18"/>
      <c r="AK15" s="18"/>
      <c r="AL15" s="18"/>
    </row>
    <row r="16" spans="1:39" s="19" customFormat="1" ht="153.85" customHeight="1" x14ac:dyDescent="0.7">
      <c r="A16" s="29">
        <v>1611110</v>
      </c>
      <c r="B16" s="29"/>
      <c r="C16" s="30">
        <v>3132</v>
      </c>
      <c r="D16" s="31" t="s">
        <v>40</v>
      </c>
      <c r="E16" s="32">
        <f>SUM(G16:H16)</f>
        <v>1400000</v>
      </c>
      <c r="G16" s="33">
        <v>1400000</v>
      </c>
      <c r="H16" s="33"/>
      <c r="I16" s="34">
        <f>SUM(J16:L16)</f>
        <v>1396892.29</v>
      </c>
      <c r="J16" s="33"/>
      <c r="K16" s="33">
        <f>412623.26+271451.13+480445.45+232372.45</f>
        <v>1396892.29</v>
      </c>
      <c r="L16" s="33"/>
      <c r="M16" s="35">
        <f>SUM(N16:P16)</f>
        <v>1396892.29</v>
      </c>
      <c r="N16" s="33"/>
      <c r="O16" s="33">
        <f>412623.26+266653.04+4798.09+466585.27+13860.18+229549.31+2823.14</f>
        <v>1396892.29</v>
      </c>
      <c r="P16" s="36"/>
      <c r="Q16" s="33"/>
      <c r="R16" s="33"/>
      <c r="S16" s="33">
        <f>I16-M16</f>
        <v>0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18"/>
      <c r="AG16" s="18"/>
      <c r="AH16" s="18"/>
      <c r="AI16" s="18"/>
      <c r="AJ16" s="18"/>
      <c r="AK16" s="18"/>
      <c r="AL16" s="18"/>
    </row>
    <row r="17" spans="1:39" s="19" customFormat="1" ht="43.2" customHeight="1" x14ac:dyDescent="0.65">
      <c r="A17" s="89" t="s">
        <v>43</v>
      </c>
      <c r="B17" s="89"/>
      <c r="C17" s="89"/>
      <c r="D17" s="89"/>
      <c r="E17" s="37">
        <f t="shared" ref="E17:S17" si="2">SUM(E16:E16)</f>
        <v>1400000</v>
      </c>
      <c r="F17" s="37"/>
      <c r="G17" s="37">
        <f>SUM(G16)</f>
        <v>1400000</v>
      </c>
      <c r="H17" s="37">
        <f t="shared" si="2"/>
        <v>0</v>
      </c>
      <c r="I17" s="37">
        <f t="shared" si="2"/>
        <v>1396892.29</v>
      </c>
      <c r="J17" s="37">
        <f t="shared" si="2"/>
        <v>0</v>
      </c>
      <c r="K17" s="37">
        <f t="shared" si="2"/>
        <v>1396892.29</v>
      </c>
      <c r="L17" s="37">
        <f t="shared" si="2"/>
        <v>0</v>
      </c>
      <c r="M17" s="37">
        <f t="shared" si="2"/>
        <v>1396892.29</v>
      </c>
      <c r="N17" s="37">
        <f t="shared" si="2"/>
        <v>0</v>
      </c>
      <c r="O17" s="37">
        <f t="shared" si="2"/>
        <v>1396892.29</v>
      </c>
      <c r="P17" s="37">
        <f t="shared" si="2"/>
        <v>0</v>
      </c>
      <c r="Q17" s="37">
        <f t="shared" si="2"/>
        <v>0</v>
      </c>
      <c r="R17" s="37">
        <f t="shared" si="2"/>
        <v>0</v>
      </c>
      <c r="S17" s="37">
        <f t="shared" si="2"/>
        <v>0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18"/>
      <c r="AG17" s="18"/>
      <c r="AH17" s="18"/>
      <c r="AI17" s="18"/>
      <c r="AJ17" s="18"/>
      <c r="AK17" s="18"/>
      <c r="AL17" s="18"/>
    </row>
    <row r="18" spans="1:39" s="19" customFormat="1" ht="172.5" customHeight="1" x14ac:dyDescent="0.7">
      <c r="A18" s="29">
        <v>1611180</v>
      </c>
      <c r="B18" s="29"/>
      <c r="C18" s="30">
        <v>3142</v>
      </c>
      <c r="D18" s="31" t="s">
        <v>18</v>
      </c>
      <c r="E18" s="32">
        <f>SUM(G18:H18)</f>
        <v>14747542</v>
      </c>
      <c r="G18" s="33">
        <v>13272790</v>
      </c>
      <c r="H18" s="33">
        <v>1474752</v>
      </c>
      <c r="I18" s="34">
        <f>SUM(J18:L18)</f>
        <v>14695038.390000001</v>
      </c>
      <c r="J18" s="33"/>
      <c r="K18" s="33">
        <f>3362493.11+246195.94+3752728.02+4348973.73+1474956.82+49000</f>
        <v>13234347.620000001</v>
      </c>
      <c r="L18" s="33">
        <f>373610.35+27355.11+416969.79+642755.52</f>
        <v>1460690.77</v>
      </c>
      <c r="M18" s="35">
        <f>SUM(N18:P18)</f>
        <v>14695038.390000001</v>
      </c>
      <c r="N18" s="33"/>
      <c r="O18" s="33">
        <f>3362493.11+246195.94+113686.79+3639041.23+86041.14+2005072.38+191789.23+1808254.64+56156.24+201660.1+1435577.68+39379.14+49000</f>
        <v>13234347.620000001</v>
      </c>
      <c r="P18" s="36">
        <f>373610.35+27355.11+12631.87+404337.92+266502.05+6239.58+200917.18+9560.13+0.32+159536.26</f>
        <v>1460690.77</v>
      </c>
      <c r="Q18" s="33"/>
      <c r="R18" s="33" t="s">
        <v>94</v>
      </c>
      <c r="S18" s="33">
        <f>I18-M18</f>
        <v>0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18"/>
      <c r="AG18" s="18"/>
      <c r="AH18" s="18"/>
      <c r="AI18" s="18"/>
      <c r="AJ18" s="18"/>
      <c r="AK18" s="18"/>
      <c r="AL18" s="18"/>
    </row>
    <row r="19" spans="1:39" s="19" customFormat="1" ht="43.2" customHeight="1" x14ac:dyDescent="0.65">
      <c r="A19" s="89" t="s">
        <v>83</v>
      </c>
      <c r="B19" s="89"/>
      <c r="C19" s="89"/>
      <c r="D19" s="89"/>
      <c r="E19" s="37">
        <f>SUM(E18:E18)</f>
        <v>14747542</v>
      </c>
      <c r="F19" s="37"/>
      <c r="G19" s="37">
        <f>SUM(G18)</f>
        <v>13272790</v>
      </c>
      <c r="H19" s="37">
        <f t="shared" ref="H19:S19" si="3">SUM(H18:H18)</f>
        <v>1474752</v>
      </c>
      <c r="I19" s="37">
        <f t="shared" si="3"/>
        <v>14695038.390000001</v>
      </c>
      <c r="J19" s="37">
        <f t="shared" si="3"/>
        <v>0</v>
      </c>
      <c r="K19" s="37">
        <f t="shared" si="3"/>
        <v>13234347.620000001</v>
      </c>
      <c r="L19" s="37">
        <f t="shared" si="3"/>
        <v>1460690.77</v>
      </c>
      <c r="M19" s="37">
        <f t="shared" si="3"/>
        <v>14695038.390000001</v>
      </c>
      <c r="N19" s="37">
        <f t="shared" si="3"/>
        <v>0</v>
      </c>
      <c r="O19" s="37">
        <f t="shared" si="3"/>
        <v>13234347.620000001</v>
      </c>
      <c r="P19" s="37">
        <f t="shared" si="3"/>
        <v>1460690.77</v>
      </c>
      <c r="Q19" s="37">
        <f t="shared" si="3"/>
        <v>0</v>
      </c>
      <c r="R19" s="37">
        <f t="shared" si="3"/>
        <v>0</v>
      </c>
      <c r="S19" s="37">
        <f t="shared" si="3"/>
        <v>0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18"/>
      <c r="AG19" s="18"/>
      <c r="AH19" s="18"/>
      <c r="AI19" s="18"/>
      <c r="AJ19" s="18"/>
      <c r="AK19" s="18"/>
      <c r="AL19" s="18"/>
    </row>
    <row r="20" spans="1:39" s="19" customFormat="1" ht="185.25" customHeight="1" x14ac:dyDescent="0.7">
      <c r="A20" s="73">
        <v>1615045</v>
      </c>
      <c r="B20" s="73"/>
      <c r="C20" s="30">
        <v>3142</v>
      </c>
      <c r="D20" s="28" t="s">
        <v>32</v>
      </c>
      <c r="E20" s="32">
        <f>SUM(F20:H20)</f>
        <v>127051</v>
      </c>
      <c r="F20" s="33"/>
      <c r="G20" s="33"/>
      <c r="H20" s="33">
        <v>127051</v>
      </c>
      <c r="I20" s="34">
        <f>J20+K20+L20</f>
        <v>127051</v>
      </c>
      <c r="J20" s="33"/>
      <c r="K20" s="33"/>
      <c r="L20" s="33">
        <f>38115.3+85240.55+3695.15</f>
        <v>127051</v>
      </c>
      <c r="M20" s="35">
        <f>N20+O20+P20</f>
        <v>127051</v>
      </c>
      <c r="N20" s="33"/>
      <c r="O20" s="33"/>
      <c r="P20" s="36">
        <f>38115.3+85240.55+3695.15</f>
        <v>127051</v>
      </c>
      <c r="Q20" s="33"/>
      <c r="R20" s="33"/>
      <c r="S20" s="33">
        <f>I20-M20</f>
        <v>0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18"/>
      <c r="AG20" s="18"/>
      <c r="AH20" s="18"/>
      <c r="AI20" s="18"/>
      <c r="AJ20" s="18"/>
      <c r="AK20" s="18"/>
      <c r="AL20" s="18"/>
    </row>
    <row r="21" spans="1:39" s="19" customFormat="1" ht="43.2" customHeight="1" x14ac:dyDescent="0.65">
      <c r="A21" s="90" t="s">
        <v>44</v>
      </c>
      <c r="B21" s="90"/>
      <c r="C21" s="90"/>
      <c r="D21" s="90"/>
      <c r="E21" s="37">
        <f t="shared" ref="E21:S21" si="4">SUM(E20:E20)</f>
        <v>127051</v>
      </c>
      <c r="F21" s="37">
        <f t="shared" si="4"/>
        <v>0</v>
      </c>
      <c r="G21" s="37">
        <f t="shared" si="4"/>
        <v>0</v>
      </c>
      <c r="H21" s="37">
        <f t="shared" si="4"/>
        <v>127051</v>
      </c>
      <c r="I21" s="37">
        <f t="shared" si="4"/>
        <v>127051</v>
      </c>
      <c r="J21" s="37">
        <f t="shared" si="4"/>
        <v>0</v>
      </c>
      <c r="K21" s="37">
        <f t="shared" si="4"/>
        <v>0</v>
      </c>
      <c r="L21" s="37">
        <f t="shared" si="4"/>
        <v>127051</v>
      </c>
      <c r="M21" s="37">
        <f t="shared" si="4"/>
        <v>127051</v>
      </c>
      <c r="N21" s="37">
        <f t="shared" si="4"/>
        <v>0</v>
      </c>
      <c r="O21" s="37">
        <f t="shared" si="4"/>
        <v>0</v>
      </c>
      <c r="P21" s="37">
        <f t="shared" si="4"/>
        <v>127051</v>
      </c>
      <c r="Q21" s="37">
        <f t="shared" si="4"/>
        <v>0</v>
      </c>
      <c r="R21" s="37">
        <f t="shared" si="4"/>
        <v>0</v>
      </c>
      <c r="S21" s="37">
        <f t="shared" si="4"/>
        <v>0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18"/>
      <c r="AG21" s="18"/>
      <c r="AH21" s="18"/>
      <c r="AI21" s="18"/>
      <c r="AJ21" s="18"/>
      <c r="AK21" s="18"/>
      <c r="AL21" s="18"/>
    </row>
    <row r="22" spans="1:39" s="19" customFormat="1" ht="185.25" customHeight="1" x14ac:dyDescent="0.7">
      <c r="A22" s="91">
        <v>1617321</v>
      </c>
      <c r="B22" s="73"/>
      <c r="C22" s="30">
        <v>3122</v>
      </c>
      <c r="D22" s="28" t="s">
        <v>46</v>
      </c>
      <c r="E22" s="32">
        <f>SUM(F22:H22)</f>
        <v>420000</v>
      </c>
      <c r="F22" s="33">
        <v>420000</v>
      </c>
      <c r="G22" s="33"/>
      <c r="H22" s="33"/>
      <c r="I22" s="34">
        <f>J22+K22+L22</f>
        <v>298574</v>
      </c>
      <c r="J22" s="33">
        <f>298574</f>
        <v>298574</v>
      </c>
      <c r="K22" s="33"/>
      <c r="L22" s="33"/>
      <c r="M22" s="35">
        <f>N22+O22+P22</f>
        <v>298574</v>
      </c>
      <c r="N22" s="33">
        <f>298574</f>
        <v>298574</v>
      </c>
      <c r="O22" s="33"/>
      <c r="P22" s="36"/>
      <c r="Q22" s="33"/>
      <c r="R22" s="33"/>
      <c r="S22" s="33">
        <f>I22-M22</f>
        <v>0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18"/>
      <c r="AG22" s="18"/>
      <c r="AH22" s="18"/>
      <c r="AI22" s="18"/>
      <c r="AJ22" s="18"/>
      <c r="AK22" s="18"/>
      <c r="AL22" s="18"/>
    </row>
    <row r="23" spans="1:39" s="19" customFormat="1" ht="132.75" customHeight="1" x14ac:dyDescent="0.7">
      <c r="A23" s="92"/>
      <c r="B23" s="73"/>
      <c r="C23" s="30">
        <v>3142</v>
      </c>
      <c r="D23" s="28" t="s">
        <v>62</v>
      </c>
      <c r="E23" s="32">
        <f>SUM(F23:H23)</f>
        <v>10000</v>
      </c>
      <c r="F23" s="33">
        <v>10000</v>
      </c>
      <c r="G23" s="33"/>
      <c r="H23" s="33"/>
      <c r="I23" s="34">
        <f>J23+K23+L23</f>
        <v>0</v>
      </c>
      <c r="J23" s="33"/>
      <c r="K23" s="33"/>
      <c r="L23" s="33"/>
      <c r="M23" s="35">
        <f>N23+O23+P23</f>
        <v>0</v>
      </c>
      <c r="N23" s="33"/>
      <c r="O23" s="33"/>
      <c r="P23" s="36"/>
      <c r="Q23" s="33"/>
      <c r="R23" s="33"/>
      <c r="S23" s="33">
        <f>I23-M23</f>
        <v>0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18"/>
      <c r="AG23" s="18"/>
      <c r="AH23" s="18"/>
      <c r="AI23" s="18"/>
      <c r="AJ23" s="18"/>
      <c r="AK23" s="18"/>
      <c r="AL23" s="18"/>
    </row>
    <row r="24" spans="1:39" s="7" customFormat="1" ht="48.8" customHeight="1" x14ac:dyDescent="0.65">
      <c r="A24" s="88" t="s">
        <v>45</v>
      </c>
      <c r="B24" s="88"/>
      <c r="C24" s="38"/>
      <c r="D24" s="38"/>
      <c r="E24" s="38">
        <f>SUM(E22:E23)</f>
        <v>430000</v>
      </c>
      <c r="F24" s="38">
        <f t="shared" ref="F24:S24" si="5">SUM(F22:F23)</f>
        <v>430000</v>
      </c>
      <c r="G24" s="38">
        <f t="shared" si="5"/>
        <v>0</v>
      </c>
      <c r="H24" s="38">
        <f t="shared" si="5"/>
        <v>0</v>
      </c>
      <c r="I24" s="38">
        <f t="shared" si="5"/>
        <v>298574</v>
      </c>
      <c r="J24" s="38">
        <f t="shared" si="5"/>
        <v>298574</v>
      </c>
      <c r="K24" s="38">
        <f t="shared" si="5"/>
        <v>0</v>
      </c>
      <c r="L24" s="38">
        <f t="shared" si="5"/>
        <v>0</v>
      </c>
      <c r="M24" s="38">
        <f t="shared" si="5"/>
        <v>298574</v>
      </c>
      <c r="N24" s="38">
        <f t="shared" si="5"/>
        <v>298574</v>
      </c>
      <c r="O24" s="38">
        <f t="shared" si="5"/>
        <v>0</v>
      </c>
      <c r="P24" s="38">
        <f t="shared" si="5"/>
        <v>0</v>
      </c>
      <c r="Q24" s="38">
        <f t="shared" si="5"/>
        <v>0</v>
      </c>
      <c r="R24" s="38">
        <f t="shared" si="5"/>
        <v>0</v>
      </c>
      <c r="S24" s="38">
        <f t="shared" si="5"/>
        <v>0</v>
      </c>
      <c r="AF24" s="6"/>
      <c r="AG24" s="6"/>
      <c r="AH24" s="6"/>
      <c r="AI24" s="6"/>
      <c r="AJ24" s="6"/>
      <c r="AK24" s="6"/>
      <c r="AL24" s="6"/>
      <c r="AM24" s="1"/>
    </row>
    <row r="25" spans="1:39" s="7" customFormat="1" ht="153.85" customHeight="1" x14ac:dyDescent="0.7">
      <c r="A25" s="91">
        <v>1617322</v>
      </c>
      <c r="B25" s="73"/>
      <c r="C25" s="30">
        <v>3132</v>
      </c>
      <c r="D25" s="31" t="s">
        <v>48</v>
      </c>
      <c r="E25" s="32">
        <f t="shared" ref="E25:E30" si="6">SUM(F25)</f>
        <v>204500</v>
      </c>
      <c r="F25" s="33">
        <v>204500</v>
      </c>
      <c r="G25" s="33"/>
      <c r="H25" s="33"/>
      <c r="I25" s="34">
        <f t="shared" ref="I25:I32" si="7">SUM(J25:L25)</f>
        <v>204474</v>
      </c>
      <c r="J25" s="33">
        <f>204474</f>
        <v>204474</v>
      </c>
      <c r="K25" s="33"/>
      <c r="L25" s="33"/>
      <c r="M25" s="35">
        <f t="shared" ref="M25:M32" si="8">SUM(N25:P25)</f>
        <v>204474</v>
      </c>
      <c r="N25" s="33">
        <f>204474</f>
        <v>204474</v>
      </c>
      <c r="O25" s="33"/>
      <c r="P25" s="36"/>
      <c r="Q25" s="33"/>
      <c r="R25" s="33"/>
      <c r="S25" s="33">
        <f t="shared" ref="S25:S32" si="9">I25-M25</f>
        <v>0</v>
      </c>
      <c r="AF25" s="6"/>
      <c r="AG25" s="6"/>
      <c r="AH25" s="6"/>
      <c r="AI25" s="6"/>
      <c r="AJ25" s="6"/>
      <c r="AK25" s="6"/>
      <c r="AL25" s="6"/>
      <c r="AM25" s="1"/>
    </row>
    <row r="26" spans="1:39" s="7" customFormat="1" ht="152.19999999999999" customHeight="1" x14ac:dyDescent="0.7">
      <c r="A26" s="93"/>
      <c r="B26" s="73"/>
      <c r="C26" s="30">
        <v>3132</v>
      </c>
      <c r="D26" s="31" t="s">
        <v>49</v>
      </c>
      <c r="E26" s="32">
        <f t="shared" si="6"/>
        <v>5928005</v>
      </c>
      <c r="F26" s="33">
        <v>5928005</v>
      </c>
      <c r="G26" s="33"/>
      <c r="H26" s="33"/>
      <c r="I26" s="34">
        <f t="shared" si="7"/>
        <v>5913920.9900000002</v>
      </c>
      <c r="J26" s="33">
        <f>2400000+2521760.74+932741.05+49750+9669.2</f>
        <v>5913920.9900000002</v>
      </c>
      <c r="K26" s="33"/>
      <c r="L26" s="33"/>
      <c r="M26" s="35">
        <f t="shared" si="8"/>
        <v>5913920.9899999993</v>
      </c>
      <c r="N26" s="33">
        <f>4811248.52+110512.22+911543.08+21197.97+49750+9669.2</f>
        <v>5913920.9899999993</v>
      </c>
      <c r="O26" s="33"/>
      <c r="P26" s="36"/>
      <c r="Q26" s="33"/>
      <c r="R26" s="33"/>
      <c r="S26" s="33">
        <f t="shared" si="9"/>
        <v>0</v>
      </c>
      <c r="AF26" s="6"/>
      <c r="AG26" s="6"/>
      <c r="AH26" s="6"/>
      <c r="AI26" s="6"/>
      <c r="AJ26" s="6"/>
      <c r="AK26" s="6"/>
      <c r="AL26" s="6"/>
      <c r="AM26" s="1"/>
    </row>
    <row r="27" spans="1:39" s="7" customFormat="1" ht="252" customHeight="1" x14ac:dyDescent="0.7">
      <c r="A27" s="93"/>
      <c r="B27" s="73"/>
      <c r="C27" s="30">
        <v>3142</v>
      </c>
      <c r="D27" s="31" t="s">
        <v>50</v>
      </c>
      <c r="E27" s="32">
        <f t="shared" si="6"/>
        <v>313000</v>
      </c>
      <c r="F27" s="33">
        <v>313000</v>
      </c>
      <c r="G27" s="33"/>
      <c r="H27" s="33"/>
      <c r="I27" s="34">
        <f t="shared" si="7"/>
        <v>345123.01</v>
      </c>
      <c r="J27" s="33">
        <f>718.33+241069+59893.68+33000+10442</f>
        <v>345123.01</v>
      </c>
      <c r="K27" s="33"/>
      <c r="L27" s="33"/>
      <c r="M27" s="35">
        <f t="shared" si="8"/>
        <v>345123.01</v>
      </c>
      <c r="N27" s="33">
        <f>718.33+241069+59893.68+33000+10442</f>
        <v>345123.01</v>
      </c>
      <c r="O27" s="33"/>
      <c r="P27" s="36"/>
      <c r="Q27" s="33"/>
      <c r="R27" s="33"/>
      <c r="S27" s="33">
        <f t="shared" si="9"/>
        <v>0</v>
      </c>
      <c r="AF27" s="6"/>
      <c r="AG27" s="6"/>
      <c r="AH27" s="6"/>
      <c r="AI27" s="6"/>
      <c r="AJ27" s="6"/>
      <c r="AK27" s="6"/>
      <c r="AL27" s="6"/>
      <c r="AM27" s="1"/>
    </row>
    <row r="28" spans="1:39" s="7" customFormat="1" ht="90.85" customHeight="1" x14ac:dyDescent="0.7">
      <c r="A28" s="93"/>
      <c r="B28" s="73"/>
      <c r="C28" s="30">
        <v>3142</v>
      </c>
      <c r="D28" s="31" t="s">
        <v>51</v>
      </c>
      <c r="E28" s="32">
        <f t="shared" si="6"/>
        <v>44000</v>
      </c>
      <c r="F28" s="33">
        <v>44000</v>
      </c>
      <c r="G28" s="33"/>
      <c r="H28" s="33"/>
      <c r="I28" s="34">
        <f t="shared" si="7"/>
        <v>0</v>
      </c>
      <c r="J28" s="33"/>
      <c r="K28" s="33"/>
      <c r="L28" s="33"/>
      <c r="M28" s="35">
        <f t="shared" si="8"/>
        <v>0</v>
      </c>
      <c r="N28" s="33"/>
      <c r="O28" s="33"/>
      <c r="P28" s="36"/>
      <c r="Q28" s="33"/>
      <c r="R28" s="33"/>
      <c r="S28" s="33">
        <f t="shared" si="9"/>
        <v>0</v>
      </c>
      <c r="AF28" s="6"/>
      <c r="AG28" s="6"/>
      <c r="AH28" s="6"/>
      <c r="AI28" s="6"/>
      <c r="AJ28" s="6"/>
      <c r="AK28" s="6"/>
      <c r="AL28" s="6"/>
      <c r="AM28" s="1"/>
    </row>
    <row r="29" spans="1:39" s="7" customFormat="1" ht="186.05" customHeight="1" x14ac:dyDescent="0.7">
      <c r="A29" s="93"/>
      <c r="B29" s="73"/>
      <c r="C29" s="30">
        <v>3142</v>
      </c>
      <c r="D29" s="31" t="s">
        <v>52</v>
      </c>
      <c r="E29" s="32">
        <f t="shared" si="6"/>
        <v>500000</v>
      </c>
      <c r="F29" s="33">
        <v>500000</v>
      </c>
      <c r="G29" s="33"/>
      <c r="H29" s="33"/>
      <c r="I29" s="34">
        <f t="shared" si="7"/>
        <v>500000</v>
      </c>
      <c r="J29" s="33">
        <f>450000+49905+95</f>
        <v>500000</v>
      </c>
      <c r="K29" s="33"/>
      <c r="L29" s="33"/>
      <c r="M29" s="35">
        <f t="shared" si="8"/>
        <v>500000</v>
      </c>
      <c r="N29" s="33">
        <f>450000+49905+95</f>
        <v>500000</v>
      </c>
      <c r="O29" s="33"/>
      <c r="P29" s="36"/>
      <c r="Q29" s="33"/>
      <c r="R29" s="33"/>
      <c r="S29" s="33">
        <f t="shared" si="9"/>
        <v>0</v>
      </c>
      <c r="AF29" s="6"/>
      <c r="AG29" s="6"/>
      <c r="AH29" s="6"/>
      <c r="AI29" s="6"/>
      <c r="AJ29" s="6"/>
      <c r="AK29" s="6"/>
      <c r="AL29" s="6"/>
      <c r="AM29" s="1"/>
    </row>
    <row r="30" spans="1:39" s="7" customFormat="1" ht="207" customHeight="1" x14ac:dyDescent="0.7">
      <c r="A30" s="92"/>
      <c r="B30" s="73"/>
      <c r="C30" s="30">
        <v>3142</v>
      </c>
      <c r="D30" s="31" t="s">
        <v>57</v>
      </c>
      <c r="E30" s="32">
        <f t="shared" si="6"/>
        <v>4809000</v>
      </c>
      <c r="F30" s="33">
        <v>4809000</v>
      </c>
      <c r="G30" s="33"/>
      <c r="H30" s="33"/>
      <c r="I30" s="34">
        <f t="shared" si="7"/>
        <v>4727607.4500000011</v>
      </c>
      <c r="J30" s="33">
        <f>289842+1300887.47+2768230.22+42384.23+272800+40706.03+12757.5</f>
        <v>4727607.4500000011</v>
      </c>
      <c r="K30" s="33"/>
      <c r="L30" s="33"/>
      <c r="M30" s="35">
        <f t="shared" si="8"/>
        <v>4727607.4499999983</v>
      </c>
      <c r="N30" s="33">
        <f>289842+1300887.47+2686529.12+81701.1+308979.06+6205.17+810.1+39895.93+12757.5</f>
        <v>4727607.4499999983</v>
      </c>
      <c r="O30" s="33"/>
      <c r="P30" s="36"/>
      <c r="Q30" s="33"/>
      <c r="R30" s="33"/>
      <c r="S30" s="33">
        <f t="shared" si="9"/>
        <v>0</v>
      </c>
      <c r="AF30" s="6"/>
      <c r="AG30" s="6"/>
      <c r="AH30" s="6"/>
      <c r="AI30" s="6"/>
      <c r="AJ30" s="6"/>
      <c r="AK30" s="6"/>
      <c r="AL30" s="6"/>
      <c r="AM30" s="1"/>
    </row>
    <row r="31" spans="1:39" s="7" customFormat="1" ht="124.55" customHeight="1" x14ac:dyDescent="0.7">
      <c r="A31" s="74"/>
      <c r="B31" s="73"/>
      <c r="C31" s="30"/>
      <c r="D31" s="31" t="s">
        <v>93</v>
      </c>
      <c r="E31" s="32">
        <v>700000</v>
      </c>
      <c r="F31" s="33">
        <v>700000</v>
      </c>
      <c r="G31" s="33"/>
      <c r="H31" s="33"/>
      <c r="I31" s="34">
        <f t="shared" si="7"/>
        <v>252939.93</v>
      </c>
      <c r="J31" s="33">
        <f>49947.37+190081.6+12910.96</f>
        <v>252939.93</v>
      </c>
      <c r="K31" s="33"/>
      <c r="L31" s="33"/>
      <c r="M31" s="35">
        <f t="shared" si="8"/>
        <v>252939.93</v>
      </c>
      <c r="N31" s="33">
        <f>49947.37+57024.48+12910.96+133057.12</f>
        <v>252939.93</v>
      </c>
      <c r="O31" s="33"/>
      <c r="P31" s="36"/>
      <c r="Q31" s="33"/>
      <c r="R31" s="33"/>
      <c r="S31" s="33">
        <f t="shared" si="9"/>
        <v>0</v>
      </c>
      <c r="AF31" s="6"/>
      <c r="AG31" s="6"/>
      <c r="AH31" s="6"/>
      <c r="AI31" s="6"/>
      <c r="AJ31" s="6"/>
      <c r="AK31" s="6"/>
      <c r="AL31" s="6"/>
      <c r="AM31" s="1"/>
    </row>
    <row r="32" spans="1:39" s="7" customFormat="1" ht="227.95" customHeight="1" x14ac:dyDescent="0.7">
      <c r="A32" s="74"/>
      <c r="B32" s="73"/>
      <c r="C32" s="30">
        <v>3142</v>
      </c>
      <c r="D32" s="31" t="s">
        <v>56</v>
      </c>
      <c r="E32" s="32">
        <f>SUM(F32+G32+H32)</f>
        <v>500000</v>
      </c>
      <c r="F32" s="33"/>
      <c r="G32" s="33">
        <v>500000</v>
      </c>
      <c r="H32" s="33"/>
      <c r="I32" s="34">
        <f t="shared" si="7"/>
        <v>499995</v>
      </c>
      <c r="J32" s="33"/>
      <c r="K32" s="33">
        <f>450000+49800+195</f>
        <v>499995</v>
      </c>
      <c r="L32" s="33"/>
      <c r="M32" s="35">
        <f t="shared" si="8"/>
        <v>499995</v>
      </c>
      <c r="N32" s="33"/>
      <c r="O32" s="33">
        <f>450000+49800+195</f>
        <v>499995</v>
      </c>
      <c r="P32" s="36"/>
      <c r="Q32" s="33"/>
      <c r="R32" s="33"/>
      <c r="S32" s="33">
        <f t="shared" si="9"/>
        <v>0</v>
      </c>
      <c r="AF32" s="6"/>
      <c r="AG32" s="6"/>
      <c r="AH32" s="6"/>
      <c r="AI32" s="6"/>
      <c r="AJ32" s="6"/>
      <c r="AK32" s="6"/>
      <c r="AL32" s="6"/>
      <c r="AM32" s="1"/>
    </row>
    <row r="33" spans="1:246" s="7" customFormat="1" ht="48.8" customHeight="1" x14ac:dyDescent="0.65">
      <c r="A33" s="88" t="s">
        <v>47</v>
      </c>
      <c r="B33" s="88"/>
      <c r="C33" s="38"/>
      <c r="D33" s="38"/>
      <c r="E33" s="38">
        <f>SUM(E25:E32)</f>
        <v>12998505</v>
      </c>
      <c r="F33" s="38">
        <f t="shared" ref="F33:S33" si="10">SUM(F25:F32)</f>
        <v>12498505</v>
      </c>
      <c r="G33" s="38">
        <f t="shared" si="10"/>
        <v>500000</v>
      </c>
      <c r="H33" s="38">
        <f t="shared" si="10"/>
        <v>0</v>
      </c>
      <c r="I33" s="38">
        <f>SUM(I25:I32)</f>
        <v>12444060.380000001</v>
      </c>
      <c r="J33" s="38">
        <f t="shared" si="10"/>
        <v>11944065.380000001</v>
      </c>
      <c r="K33" s="38">
        <f t="shared" si="10"/>
        <v>499995</v>
      </c>
      <c r="L33" s="38">
        <f t="shared" si="10"/>
        <v>0</v>
      </c>
      <c r="M33" s="38">
        <f t="shared" si="10"/>
        <v>12444060.379999997</v>
      </c>
      <c r="N33" s="38">
        <f t="shared" si="10"/>
        <v>11944065.379999997</v>
      </c>
      <c r="O33" s="38">
        <f t="shared" si="10"/>
        <v>499995</v>
      </c>
      <c r="P33" s="38">
        <f t="shared" si="10"/>
        <v>0</v>
      </c>
      <c r="Q33" s="38">
        <f t="shared" si="10"/>
        <v>0</v>
      </c>
      <c r="R33" s="38">
        <f t="shared" si="10"/>
        <v>0</v>
      </c>
      <c r="S33" s="38">
        <f t="shared" si="10"/>
        <v>0</v>
      </c>
      <c r="AF33" s="6"/>
      <c r="AG33" s="6"/>
      <c r="AH33" s="6"/>
      <c r="AI33" s="6"/>
      <c r="AJ33" s="6"/>
      <c r="AK33" s="6"/>
      <c r="AL33" s="6"/>
      <c r="AM33" s="1"/>
    </row>
    <row r="34" spans="1:246" ht="176.25" customHeight="1" x14ac:dyDescent="0.7">
      <c r="A34" s="29">
        <v>1617323</v>
      </c>
      <c r="B34" s="39"/>
      <c r="C34" s="40">
        <v>3142</v>
      </c>
      <c r="D34" s="41" t="s">
        <v>78</v>
      </c>
      <c r="E34" s="32">
        <f>SUM(F34:H34)</f>
        <v>1000000</v>
      </c>
      <c r="F34" s="33">
        <v>1000000</v>
      </c>
      <c r="G34" s="33"/>
      <c r="H34" s="33"/>
      <c r="I34" s="34">
        <f>SUM(J34)</f>
        <v>988985.39</v>
      </c>
      <c r="J34" s="33">
        <f>988985.39</f>
        <v>988985.39</v>
      </c>
      <c r="K34" s="33"/>
      <c r="L34" s="33"/>
      <c r="M34" s="35">
        <f>SUM(N34+O34+P34)</f>
        <v>988985.39</v>
      </c>
      <c r="N34" s="33">
        <f>970000+18985.39</f>
        <v>988985.39</v>
      </c>
      <c r="O34" s="33"/>
      <c r="P34" s="33"/>
      <c r="Q34" s="33"/>
      <c r="R34" s="33"/>
      <c r="S34" s="33">
        <f>I34-M34</f>
        <v>0</v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</row>
    <row r="35" spans="1:246" ht="35.700000000000003" customHeight="1" x14ac:dyDescent="0.65">
      <c r="A35" s="88" t="s">
        <v>58</v>
      </c>
      <c r="B35" s="88"/>
      <c r="C35" s="42"/>
      <c r="D35" s="38"/>
      <c r="E35" s="38">
        <f>SUM(E34:E34)</f>
        <v>1000000</v>
      </c>
      <c r="F35" s="38">
        <f>SUM(F34:F34)</f>
        <v>1000000</v>
      </c>
      <c r="G35" s="38">
        <f t="shared" ref="G35:S35" si="11">SUM(G34:G34)</f>
        <v>0</v>
      </c>
      <c r="H35" s="38">
        <f t="shared" si="11"/>
        <v>0</v>
      </c>
      <c r="I35" s="38">
        <f t="shared" si="11"/>
        <v>988985.39</v>
      </c>
      <c r="J35" s="38">
        <f t="shared" si="11"/>
        <v>988985.39</v>
      </c>
      <c r="K35" s="38">
        <f t="shared" si="11"/>
        <v>0</v>
      </c>
      <c r="L35" s="38">
        <f t="shared" si="11"/>
        <v>0</v>
      </c>
      <c r="M35" s="38">
        <f t="shared" si="11"/>
        <v>988985.39</v>
      </c>
      <c r="N35" s="38">
        <f t="shared" si="11"/>
        <v>988985.39</v>
      </c>
      <c r="O35" s="38">
        <f t="shared" si="11"/>
        <v>0</v>
      </c>
      <c r="P35" s="38">
        <f t="shared" si="11"/>
        <v>0</v>
      </c>
      <c r="Q35" s="38">
        <f t="shared" si="11"/>
        <v>0</v>
      </c>
      <c r="R35" s="38">
        <f t="shared" si="11"/>
        <v>0</v>
      </c>
      <c r="S35" s="38">
        <f t="shared" si="11"/>
        <v>0</v>
      </c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</row>
    <row r="36" spans="1:246" ht="176.25" customHeight="1" x14ac:dyDescent="0.7">
      <c r="A36" s="29">
        <v>1617325</v>
      </c>
      <c r="B36" s="39"/>
      <c r="C36" s="40">
        <v>3142</v>
      </c>
      <c r="D36" s="41" t="s">
        <v>81</v>
      </c>
      <c r="E36" s="32">
        <f>SUM(F36:H36)</f>
        <v>96000</v>
      </c>
      <c r="F36" s="33">
        <v>96000</v>
      </c>
      <c r="G36" s="33"/>
      <c r="H36" s="33"/>
      <c r="I36" s="34">
        <f>SUM(J36)</f>
        <v>95360.65</v>
      </c>
      <c r="J36" s="33">
        <f>45810+49550.65</f>
        <v>95360.65</v>
      </c>
      <c r="K36" s="33"/>
      <c r="L36" s="33"/>
      <c r="M36" s="35">
        <f>SUM(N36+O36+P36)</f>
        <v>95360.65</v>
      </c>
      <c r="N36" s="33">
        <f>45810+49550.65</f>
        <v>95360.65</v>
      </c>
      <c r="O36" s="33"/>
      <c r="P36" s="33"/>
      <c r="Q36" s="33"/>
      <c r="R36" s="33"/>
      <c r="S36" s="33">
        <f>I36-M36</f>
        <v>0</v>
      </c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</row>
    <row r="37" spans="1:246" ht="35.700000000000003" customHeight="1" x14ac:dyDescent="0.65">
      <c r="A37" s="88" t="s">
        <v>80</v>
      </c>
      <c r="B37" s="88"/>
      <c r="C37" s="42"/>
      <c r="D37" s="38"/>
      <c r="E37" s="38">
        <f>SUM(E36:E36)</f>
        <v>96000</v>
      </c>
      <c r="F37" s="38">
        <f>SUM(F36:F36)</f>
        <v>96000</v>
      </c>
      <c r="G37" s="38">
        <f t="shared" ref="G37:S37" si="12">SUM(G36:G36)</f>
        <v>0</v>
      </c>
      <c r="H37" s="38">
        <f t="shared" si="12"/>
        <v>0</v>
      </c>
      <c r="I37" s="38">
        <f t="shared" si="12"/>
        <v>95360.65</v>
      </c>
      <c r="J37" s="38">
        <f t="shared" si="12"/>
        <v>95360.65</v>
      </c>
      <c r="K37" s="38">
        <f t="shared" si="12"/>
        <v>0</v>
      </c>
      <c r="L37" s="38">
        <f t="shared" si="12"/>
        <v>0</v>
      </c>
      <c r="M37" s="38">
        <f t="shared" si="12"/>
        <v>95360.65</v>
      </c>
      <c r="N37" s="38">
        <f t="shared" si="12"/>
        <v>95360.65</v>
      </c>
      <c r="O37" s="38">
        <f t="shared" si="12"/>
        <v>0</v>
      </c>
      <c r="P37" s="38">
        <f t="shared" si="12"/>
        <v>0</v>
      </c>
      <c r="Q37" s="38">
        <f t="shared" si="12"/>
        <v>0</v>
      </c>
      <c r="R37" s="38">
        <f t="shared" si="12"/>
        <v>0</v>
      </c>
      <c r="S37" s="38">
        <f t="shared" si="12"/>
        <v>0</v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</row>
    <row r="38" spans="1:246" s="7" customFormat="1" ht="41.25" customHeight="1" x14ac:dyDescent="0.65">
      <c r="A38" s="90" t="s">
        <v>90</v>
      </c>
      <c r="B38" s="90"/>
      <c r="C38" s="37"/>
      <c r="D38" s="37"/>
      <c r="E38" s="37">
        <f>SUM(E24+E33+E35+E37)</f>
        <v>14524505</v>
      </c>
      <c r="F38" s="37">
        <f t="shared" ref="F38:S38" si="13">SUM(F24+F33+F35+F37)</f>
        <v>14024505</v>
      </c>
      <c r="G38" s="37">
        <f t="shared" si="13"/>
        <v>500000</v>
      </c>
      <c r="H38" s="37">
        <f t="shared" si="13"/>
        <v>0</v>
      </c>
      <c r="I38" s="37">
        <f t="shared" si="13"/>
        <v>13826980.420000002</v>
      </c>
      <c r="J38" s="37">
        <f t="shared" si="13"/>
        <v>13326985.420000002</v>
      </c>
      <c r="K38" s="37">
        <f t="shared" si="13"/>
        <v>499995</v>
      </c>
      <c r="L38" s="37">
        <f t="shared" si="13"/>
        <v>0</v>
      </c>
      <c r="M38" s="37">
        <f t="shared" si="13"/>
        <v>13826980.419999998</v>
      </c>
      <c r="N38" s="37">
        <f t="shared" si="13"/>
        <v>13326985.419999998</v>
      </c>
      <c r="O38" s="37">
        <f t="shared" si="13"/>
        <v>499995</v>
      </c>
      <c r="P38" s="37">
        <f t="shared" si="13"/>
        <v>0</v>
      </c>
      <c r="Q38" s="37">
        <f t="shared" si="13"/>
        <v>0</v>
      </c>
      <c r="R38" s="37">
        <f t="shared" si="13"/>
        <v>0</v>
      </c>
      <c r="S38" s="37">
        <f t="shared" si="13"/>
        <v>0</v>
      </c>
      <c r="AF38" s="6"/>
      <c r="AG38" s="6"/>
      <c r="AH38" s="6"/>
      <c r="AI38" s="6"/>
      <c r="AJ38" s="6"/>
      <c r="AK38" s="6"/>
      <c r="AL38" s="6"/>
      <c r="AM38" s="1"/>
    </row>
    <row r="39" spans="1:246" s="19" customFormat="1" ht="163.5" customHeight="1" x14ac:dyDescent="0.7">
      <c r="A39" s="29">
        <v>1617330</v>
      </c>
      <c r="B39" s="29"/>
      <c r="C39" s="30">
        <v>3122</v>
      </c>
      <c r="D39" s="28" t="s">
        <v>25</v>
      </c>
      <c r="E39" s="32">
        <f>SUM(F39:H39)</f>
        <v>1215300</v>
      </c>
      <c r="F39" s="33">
        <v>1215300</v>
      </c>
      <c r="G39" s="33"/>
      <c r="H39" s="33"/>
      <c r="I39" s="34">
        <f>J39+K39+L39</f>
        <v>1210201.3700000001</v>
      </c>
      <c r="J39" s="33">
        <f>339187.96+13850.4+602319.06+255868.69-1024.74</f>
        <v>1210201.3700000001</v>
      </c>
      <c r="K39" s="33">
        <f>1638230-1638230</f>
        <v>0</v>
      </c>
      <c r="L39" s="33"/>
      <c r="M39" s="35">
        <f>N39+O39+P39</f>
        <v>1210201.3699999999</v>
      </c>
      <c r="N39" s="33">
        <f>332341.56+6846.4+13850.4+590126.62+12192.44+250745.02+4098.93</f>
        <v>1210201.3699999999</v>
      </c>
      <c r="O39" s="33"/>
      <c r="P39" s="36"/>
      <c r="Q39" s="33"/>
      <c r="R39" s="33"/>
      <c r="S39" s="33">
        <f>I39-M39</f>
        <v>0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18"/>
      <c r="AG39" s="18"/>
      <c r="AH39" s="18"/>
      <c r="AI39" s="18"/>
      <c r="AJ39" s="18"/>
      <c r="AK39" s="18"/>
      <c r="AL39" s="18"/>
    </row>
    <row r="40" spans="1:246" s="19" customFormat="1" ht="43.2" customHeight="1" x14ac:dyDescent="0.65">
      <c r="A40" s="90" t="s">
        <v>59</v>
      </c>
      <c r="B40" s="90"/>
      <c r="C40" s="90"/>
      <c r="D40" s="90"/>
      <c r="E40" s="37">
        <f t="shared" ref="E40:S40" si="14">SUM(E39:E39)</f>
        <v>1215300</v>
      </c>
      <c r="F40" s="37">
        <f t="shared" si="14"/>
        <v>1215300</v>
      </c>
      <c r="G40" s="37">
        <f t="shared" si="14"/>
        <v>0</v>
      </c>
      <c r="H40" s="37">
        <f t="shared" si="14"/>
        <v>0</v>
      </c>
      <c r="I40" s="37">
        <f t="shared" si="14"/>
        <v>1210201.3700000001</v>
      </c>
      <c r="J40" s="37">
        <f t="shared" si="14"/>
        <v>1210201.3700000001</v>
      </c>
      <c r="K40" s="37">
        <f t="shared" si="14"/>
        <v>0</v>
      </c>
      <c r="L40" s="37">
        <f t="shared" si="14"/>
        <v>0</v>
      </c>
      <c r="M40" s="37">
        <f t="shared" si="14"/>
        <v>1210201.3699999999</v>
      </c>
      <c r="N40" s="37">
        <f t="shared" si="14"/>
        <v>1210201.3699999999</v>
      </c>
      <c r="O40" s="37">
        <f t="shared" si="14"/>
        <v>0</v>
      </c>
      <c r="P40" s="37">
        <f t="shared" si="14"/>
        <v>0</v>
      </c>
      <c r="Q40" s="37">
        <f t="shared" si="14"/>
        <v>0</v>
      </c>
      <c r="R40" s="37">
        <f t="shared" si="14"/>
        <v>0</v>
      </c>
      <c r="S40" s="37">
        <f t="shared" si="14"/>
        <v>0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18"/>
      <c r="AG40" s="18"/>
      <c r="AH40" s="18"/>
      <c r="AI40" s="18"/>
      <c r="AJ40" s="18"/>
      <c r="AK40" s="18"/>
      <c r="AL40" s="18"/>
    </row>
    <row r="41" spans="1:246" s="19" customFormat="1" ht="107.2" customHeight="1" x14ac:dyDescent="0.7">
      <c r="A41" s="29">
        <v>1617340</v>
      </c>
      <c r="B41" s="29"/>
      <c r="C41" s="30">
        <v>2730</v>
      </c>
      <c r="D41" s="28" t="s">
        <v>75</v>
      </c>
      <c r="E41" s="32">
        <v>37900</v>
      </c>
      <c r="F41" s="33">
        <v>37900</v>
      </c>
      <c r="G41" s="33"/>
      <c r="H41" s="33"/>
      <c r="I41" s="34">
        <f>J41+K41+L41</f>
        <v>12612</v>
      </c>
      <c r="J41" s="33">
        <v>12612</v>
      </c>
      <c r="K41" s="33">
        <f>1638230-1638230</f>
        <v>0</v>
      </c>
      <c r="L41" s="33"/>
      <c r="M41" s="35">
        <f>N41+O41+P41</f>
        <v>12612</v>
      </c>
      <c r="N41" s="33">
        <f>10152.66+2270.16+189.18</f>
        <v>12612</v>
      </c>
      <c r="O41" s="33"/>
      <c r="P41" s="36"/>
      <c r="Q41" s="33"/>
      <c r="R41" s="33"/>
      <c r="S41" s="33">
        <f>I41-M41</f>
        <v>0</v>
      </c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18"/>
      <c r="AG41" s="18"/>
      <c r="AH41" s="18"/>
      <c r="AI41" s="18"/>
      <c r="AJ41" s="18"/>
      <c r="AK41" s="18"/>
      <c r="AL41" s="18"/>
    </row>
    <row r="42" spans="1:246" s="19" customFormat="1" ht="43.2" customHeight="1" x14ac:dyDescent="0.65">
      <c r="A42" s="90" t="s">
        <v>87</v>
      </c>
      <c r="B42" s="90"/>
      <c r="C42" s="90"/>
      <c r="D42" s="90"/>
      <c r="E42" s="37">
        <f t="shared" ref="E42:S42" si="15">SUM(E41:E41)</f>
        <v>37900</v>
      </c>
      <c r="F42" s="37">
        <f t="shared" si="15"/>
        <v>37900</v>
      </c>
      <c r="G42" s="37">
        <f t="shared" si="15"/>
        <v>0</v>
      </c>
      <c r="H42" s="37">
        <f t="shared" si="15"/>
        <v>0</v>
      </c>
      <c r="I42" s="37">
        <f t="shared" si="15"/>
        <v>12612</v>
      </c>
      <c r="J42" s="37">
        <f t="shared" si="15"/>
        <v>12612</v>
      </c>
      <c r="K42" s="37">
        <f t="shared" si="15"/>
        <v>0</v>
      </c>
      <c r="L42" s="37">
        <f t="shared" si="15"/>
        <v>0</v>
      </c>
      <c r="M42" s="37">
        <f t="shared" si="15"/>
        <v>12612</v>
      </c>
      <c r="N42" s="37">
        <f t="shared" si="15"/>
        <v>12612</v>
      </c>
      <c r="O42" s="37">
        <f t="shared" si="15"/>
        <v>0</v>
      </c>
      <c r="P42" s="37">
        <f t="shared" si="15"/>
        <v>0</v>
      </c>
      <c r="Q42" s="37">
        <f t="shared" si="15"/>
        <v>0</v>
      </c>
      <c r="R42" s="37">
        <f t="shared" si="15"/>
        <v>0</v>
      </c>
      <c r="S42" s="37">
        <f t="shared" si="15"/>
        <v>0</v>
      </c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18"/>
      <c r="AG42" s="18"/>
      <c r="AH42" s="18"/>
      <c r="AI42" s="18"/>
      <c r="AJ42" s="18"/>
      <c r="AK42" s="18"/>
      <c r="AL42" s="18"/>
    </row>
    <row r="43" spans="1:246" s="7" customFormat="1" ht="106.55" customHeight="1" x14ac:dyDescent="0.7">
      <c r="A43" s="111">
        <v>1617360</v>
      </c>
      <c r="B43" s="98">
        <v>1617361</v>
      </c>
      <c r="C43" s="40">
        <v>3142</v>
      </c>
      <c r="D43" s="41" t="s">
        <v>60</v>
      </c>
      <c r="E43" s="46">
        <f>SUM(F43)</f>
        <v>0</v>
      </c>
      <c r="F43" s="64">
        <v>0</v>
      </c>
      <c r="G43" s="64"/>
      <c r="H43" s="64"/>
      <c r="I43" s="47">
        <f t="shared" ref="I43:I51" si="16">SUM(J43+K43+L43)</f>
        <v>0</v>
      </c>
      <c r="J43" s="43"/>
      <c r="K43" s="43"/>
      <c r="L43" s="43"/>
      <c r="M43" s="48">
        <f t="shared" ref="M43:M51" si="17">N43+O43+P43</f>
        <v>0</v>
      </c>
      <c r="N43" s="43"/>
      <c r="O43" s="43"/>
      <c r="P43" s="43"/>
      <c r="Q43" s="43"/>
      <c r="R43" s="43"/>
      <c r="S43" s="33">
        <f t="shared" ref="S43:S52" si="18">I43-M43</f>
        <v>0</v>
      </c>
      <c r="AF43" s="6"/>
      <c r="AG43" s="6"/>
      <c r="AH43" s="6"/>
      <c r="AI43" s="6"/>
      <c r="AJ43" s="6"/>
      <c r="AK43" s="6"/>
      <c r="AL43" s="6"/>
      <c r="AM43" s="1"/>
    </row>
    <row r="44" spans="1:246" s="7" customFormat="1" ht="106.55" customHeight="1" x14ac:dyDescent="0.7">
      <c r="A44" s="105"/>
      <c r="B44" s="99"/>
      <c r="C44" s="40">
        <v>3142</v>
      </c>
      <c r="D44" s="41" t="s">
        <v>20</v>
      </c>
      <c r="E44" s="46">
        <f t="shared" ref="E44:E51" si="19">SUM(F44+H44)</f>
        <v>1486409</v>
      </c>
      <c r="F44" s="64">
        <v>1486409</v>
      </c>
      <c r="G44" s="64"/>
      <c r="H44" s="64"/>
      <c r="I44" s="47">
        <f t="shared" si="16"/>
        <v>1316771.6300000001</v>
      </c>
      <c r="J44" s="43">
        <f>54579.01+1100+119323.98+369550.78+57500+54276.72+209116.07+73092.8+236818.49+68385.38+24317.5+10981.6+3792.3+34000-63</f>
        <v>1316771.6300000001</v>
      </c>
      <c r="K44" s="43"/>
      <c r="L44" s="43"/>
      <c r="M44" s="48">
        <f t="shared" si="17"/>
        <v>1316771.6300000004</v>
      </c>
      <c r="N44" s="43">
        <f>54579.01+1100+114000+2310+372564.76+56400+1100+163291.75+49080.72+45824.32+5196+71624.25+1468.55+12247.61+224570.88+56392.82+208.02+10644.79+491.81+1139.75+23825.69+10706.12+212.48+3719.54+72.76+34000</f>
        <v>1316771.6300000004</v>
      </c>
      <c r="O44" s="43"/>
      <c r="P44" s="43"/>
      <c r="Q44" s="43"/>
      <c r="R44" s="43"/>
      <c r="S44" s="33">
        <f t="shared" si="18"/>
        <v>0</v>
      </c>
      <c r="AF44" s="6"/>
      <c r="AG44" s="6"/>
      <c r="AH44" s="6"/>
      <c r="AI44" s="6"/>
      <c r="AJ44" s="6"/>
      <c r="AK44" s="6"/>
      <c r="AL44" s="6"/>
      <c r="AM44" s="1"/>
    </row>
    <row r="45" spans="1:246" s="7" customFormat="1" ht="106.55" customHeight="1" x14ac:dyDescent="0.7">
      <c r="A45" s="105"/>
      <c r="B45" s="99"/>
      <c r="C45" s="40">
        <v>3122</v>
      </c>
      <c r="D45" s="41" t="s">
        <v>33</v>
      </c>
      <c r="E45" s="46">
        <f t="shared" si="19"/>
        <v>1297531</v>
      </c>
      <c r="F45" s="64"/>
      <c r="G45" s="64"/>
      <c r="H45" s="64">
        <v>1297531</v>
      </c>
      <c r="I45" s="47">
        <f t="shared" si="16"/>
        <v>647286.69000000006</v>
      </c>
      <c r="J45" s="43"/>
      <c r="K45" s="43"/>
      <c r="L45" s="43">
        <f>37411.32+82303.59+519068.78+8503</f>
        <v>647286.69000000006</v>
      </c>
      <c r="M45" s="48">
        <f t="shared" si="17"/>
        <v>647286.68999999994</v>
      </c>
      <c r="N45" s="43"/>
      <c r="O45" s="43"/>
      <c r="P45" s="43">
        <f>37411.32+1842.99+15144.8+65315.8+2236.3+6832.48+28810.78+8843+41623.49+430722.73+8503</f>
        <v>647286.68999999994</v>
      </c>
      <c r="Q45" s="43"/>
      <c r="R45" s="43"/>
      <c r="S45" s="33">
        <f t="shared" si="18"/>
        <v>0</v>
      </c>
      <c r="AF45" s="6"/>
      <c r="AG45" s="6"/>
      <c r="AH45" s="6"/>
      <c r="AI45" s="6"/>
      <c r="AJ45" s="6"/>
      <c r="AK45" s="6"/>
      <c r="AL45" s="6"/>
      <c r="AM45" s="1"/>
    </row>
    <row r="46" spans="1:246" s="7" customFormat="1" ht="220.6" customHeight="1" x14ac:dyDescent="0.7">
      <c r="A46" s="105"/>
      <c r="B46" s="99"/>
      <c r="C46" s="40">
        <v>3132</v>
      </c>
      <c r="D46" s="41" t="s">
        <v>29</v>
      </c>
      <c r="E46" s="46">
        <f t="shared" si="19"/>
        <v>625454</v>
      </c>
      <c r="F46" s="64"/>
      <c r="G46" s="64"/>
      <c r="H46" s="64">
        <v>625454</v>
      </c>
      <c r="I46" s="47">
        <f t="shared" si="16"/>
        <v>448584.78000000009</v>
      </c>
      <c r="J46" s="43"/>
      <c r="K46" s="43"/>
      <c r="L46" s="43">
        <f>129533.9+21442+22300+47830+46775+55600+43835.4+73109.68+3596.4+4562.4+2153.47-2153.47</f>
        <v>448584.78000000009</v>
      </c>
      <c r="M46" s="48">
        <f t="shared" si="17"/>
        <v>448584.78000000009</v>
      </c>
      <c r="N46" s="43"/>
      <c r="O46" s="43"/>
      <c r="P46" s="43">
        <f>129533.9+21000+442+21500+800+46100+1730+45000+1775+54000+1600+42957.4+878+1421.3+71688.38+3596.4+4562.4</f>
        <v>448584.78000000009</v>
      </c>
      <c r="Q46" s="43"/>
      <c r="R46" s="43"/>
      <c r="S46" s="33">
        <f t="shared" si="18"/>
        <v>0</v>
      </c>
      <c r="AF46" s="6"/>
      <c r="AG46" s="6"/>
      <c r="AH46" s="6"/>
      <c r="AI46" s="6"/>
      <c r="AJ46" s="6"/>
      <c r="AK46" s="6"/>
      <c r="AL46" s="6"/>
      <c r="AM46" s="1"/>
    </row>
    <row r="47" spans="1:246" s="7" customFormat="1" ht="106.55" customHeight="1" x14ac:dyDescent="0.7">
      <c r="A47" s="105"/>
      <c r="B47" s="99"/>
      <c r="C47" s="40">
        <v>3122</v>
      </c>
      <c r="D47" s="41" t="s">
        <v>61</v>
      </c>
      <c r="E47" s="46">
        <f>SUM(F47+H47)</f>
        <v>3023100</v>
      </c>
      <c r="F47" s="64"/>
      <c r="G47" s="64"/>
      <c r="H47" s="64">
        <v>3023100</v>
      </c>
      <c r="I47" s="47">
        <f t="shared" si="16"/>
        <v>2086837.9200000002</v>
      </c>
      <c r="J47" s="43"/>
      <c r="K47" s="43"/>
      <c r="L47" s="43">
        <f>880477.88+20120+52600+51322+295652.09+578002.61+3+107753.26+100907.08</f>
        <v>2086837.9200000002</v>
      </c>
      <c r="M47" s="48">
        <f t="shared" si="17"/>
        <v>2086837.92</v>
      </c>
      <c r="N47" s="43"/>
      <c r="O47" s="43"/>
      <c r="P47" s="43">
        <f>880477.88+71220+1500+47300+4022+274187.67+21464.42+754603.54-176597.93+2101.61+105651.65+1994.64+98912.44</f>
        <v>2086837.92</v>
      </c>
      <c r="Q47" s="43"/>
      <c r="R47" s="43"/>
      <c r="S47" s="33">
        <f t="shared" si="18"/>
        <v>0</v>
      </c>
      <c r="AF47" s="6"/>
      <c r="AG47" s="6"/>
      <c r="AH47" s="6"/>
      <c r="AI47" s="6"/>
      <c r="AJ47" s="6"/>
      <c r="AK47" s="6"/>
      <c r="AL47" s="6"/>
      <c r="AM47" s="1"/>
    </row>
    <row r="48" spans="1:246" s="7" customFormat="1" ht="115.55" customHeight="1" x14ac:dyDescent="0.7">
      <c r="A48" s="105"/>
      <c r="B48" s="99"/>
      <c r="C48" s="40">
        <v>3132</v>
      </c>
      <c r="D48" s="41" t="s">
        <v>19</v>
      </c>
      <c r="E48" s="46">
        <f t="shared" si="19"/>
        <v>1803553</v>
      </c>
      <c r="F48" s="64"/>
      <c r="G48" s="64"/>
      <c r="H48" s="64">
        <v>1803553</v>
      </c>
      <c r="I48" s="47">
        <f>SUM(J48+K48+L48)</f>
        <v>1521675.78</v>
      </c>
      <c r="J48" s="43"/>
      <c r="K48" s="43"/>
      <c r="L48" s="43">
        <f>323245.67+6400+47129.33+193800+94800+365930.99+55982.55+20639.61+42501.51+212957.92+4800+153488.2</f>
        <v>1521675.78</v>
      </c>
      <c r="M48" s="48">
        <f>SUM(N48+O48+P48)</f>
        <v>1521675.7800000005</v>
      </c>
      <c r="N48" s="43"/>
      <c r="O48" s="43"/>
      <c r="P48" s="43">
        <f>168668+92384.07+62193.6+3300+3100+46249.33+880+190000+3800+93000+1800+8299.68+357631.31+1255.81+54726.74+20639.61+933.55+41567.96+208114.64+4843.28+4800+78444.1+3360.07+71684.03</f>
        <v>1521675.7800000005</v>
      </c>
      <c r="Q48" s="43"/>
      <c r="R48" s="43"/>
      <c r="S48" s="33">
        <f>I48-M48</f>
        <v>0</v>
      </c>
      <c r="AF48" s="6"/>
      <c r="AG48" s="6"/>
      <c r="AH48" s="6"/>
      <c r="AI48" s="6"/>
      <c r="AJ48" s="6"/>
      <c r="AK48" s="6"/>
      <c r="AL48" s="6"/>
      <c r="AM48" s="1"/>
    </row>
    <row r="49" spans="1:39" s="7" customFormat="1" ht="115.55" customHeight="1" x14ac:dyDescent="0.7">
      <c r="A49" s="105"/>
      <c r="B49" s="99"/>
      <c r="C49" s="40">
        <v>3142</v>
      </c>
      <c r="D49" s="41" t="s">
        <v>62</v>
      </c>
      <c r="E49" s="46">
        <f t="shared" si="19"/>
        <v>0</v>
      </c>
      <c r="F49" s="64">
        <v>0</v>
      </c>
      <c r="H49" s="64"/>
      <c r="I49" s="47"/>
      <c r="J49" s="43"/>
      <c r="K49" s="43"/>
      <c r="L49" s="43"/>
      <c r="M49" s="48"/>
      <c r="N49" s="43"/>
      <c r="O49" s="43"/>
      <c r="P49" s="43"/>
      <c r="Q49" s="43"/>
      <c r="R49" s="43"/>
      <c r="S49" s="33"/>
      <c r="AF49" s="6"/>
      <c r="AG49" s="6"/>
      <c r="AH49" s="6"/>
      <c r="AI49" s="6"/>
      <c r="AJ49" s="6"/>
      <c r="AK49" s="6"/>
      <c r="AL49" s="6"/>
      <c r="AM49" s="1"/>
    </row>
    <row r="50" spans="1:39" s="7" customFormat="1" ht="151.55000000000001" customHeight="1" x14ac:dyDescent="0.7">
      <c r="A50" s="105"/>
      <c r="B50" s="99"/>
      <c r="C50" s="40">
        <v>3143</v>
      </c>
      <c r="D50" s="41" t="s">
        <v>63</v>
      </c>
      <c r="E50" s="46">
        <f t="shared" si="19"/>
        <v>0</v>
      </c>
      <c r="F50" s="64">
        <v>0</v>
      </c>
      <c r="G50" s="64"/>
      <c r="H50" s="64"/>
      <c r="I50" s="47"/>
      <c r="J50" s="43"/>
      <c r="K50" s="43"/>
      <c r="L50" s="43"/>
      <c r="M50" s="48"/>
      <c r="N50" s="43"/>
      <c r="O50" s="43"/>
      <c r="P50" s="43"/>
      <c r="Q50" s="43"/>
      <c r="R50" s="43"/>
      <c r="S50" s="33"/>
      <c r="AF50" s="6"/>
      <c r="AG50" s="6"/>
      <c r="AH50" s="6"/>
      <c r="AI50" s="6"/>
      <c r="AJ50" s="6"/>
      <c r="AK50" s="6"/>
      <c r="AL50" s="6"/>
      <c r="AM50" s="1"/>
    </row>
    <row r="51" spans="1:39" s="7" customFormat="1" ht="102.8" customHeight="1" x14ac:dyDescent="0.7">
      <c r="A51" s="105"/>
      <c r="B51" s="99"/>
      <c r="C51" s="40">
        <v>3122</v>
      </c>
      <c r="D51" s="41" t="s">
        <v>23</v>
      </c>
      <c r="E51" s="46">
        <f t="shared" si="19"/>
        <v>2528812</v>
      </c>
      <c r="F51" s="64"/>
      <c r="H51" s="64">
        <v>2528812</v>
      </c>
      <c r="I51" s="47">
        <f t="shared" si="16"/>
        <v>1874661.1199999999</v>
      </c>
      <c r="J51" s="43"/>
      <c r="K51" s="43"/>
      <c r="L51" s="43">
        <f>432391.88+117580+226950+123197.86+235670.21+93366.72+36425.64+215577.57+167250.12+123665.91+2585.21+100000</f>
        <v>1874661.1199999999</v>
      </c>
      <c r="M51" s="48">
        <f t="shared" si="17"/>
        <v>1874661.1199999999</v>
      </c>
      <c r="N51" s="43"/>
      <c r="O51" s="43"/>
      <c r="P51" s="43">
        <f>432391.88+110000+4400+3180+125240+63700+26810+7200+4000+64871.05+52654.09+5672.72+231128.53+4541.68+1819.67+91457.05+36425.64+211456.32+4211.25+3287.76+163962.36+121276.13+2389.78+47.18+2538.03+72412.22+27587.78</f>
        <v>1874661.1199999999</v>
      </c>
      <c r="Q51" s="43"/>
      <c r="R51" s="43"/>
      <c r="S51" s="33">
        <f t="shared" si="18"/>
        <v>0</v>
      </c>
      <c r="AF51" s="6"/>
      <c r="AG51" s="6"/>
      <c r="AH51" s="6"/>
      <c r="AI51" s="6"/>
      <c r="AJ51" s="6"/>
      <c r="AK51" s="6"/>
      <c r="AL51" s="6"/>
      <c r="AM51" s="1"/>
    </row>
    <row r="52" spans="1:39" s="7" customFormat="1" ht="119.95" customHeight="1" x14ac:dyDescent="0.7">
      <c r="A52" s="105"/>
      <c r="B52" s="100"/>
      <c r="C52" s="40">
        <v>3142</v>
      </c>
      <c r="D52" s="41" t="s">
        <v>18</v>
      </c>
      <c r="E52" s="46">
        <f>SUM(F52+G52+H52)</f>
        <v>1346303</v>
      </c>
      <c r="F52" s="64"/>
      <c r="G52" s="64"/>
      <c r="H52" s="64">
        <v>1346303</v>
      </c>
      <c r="I52" s="47">
        <f>SUM(J52+K52+L52)</f>
        <v>1110041.19</v>
      </c>
      <c r="J52" s="43"/>
      <c r="K52" s="43"/>
      <c r="L52" s="43">
        <f>26477+500+87466.76+69960+243082.6+65241+81662.85+94587.88+33406.61+407656.49</f>
        <v>1110041.19</v>
      </c>
      <c r="M52" s="48">
        <f>SUM(N52+O52+P52)</f>
        <v>1110041.19</v>
      </c>
      <c r="N52" s="43"/>
      <c r="O52" s="43"/>
      <c r="P52" s="43">
        <f>26477+500+77984.9+7770.86+1711+68600+1360+243082.6+64000+1241+80050.85+1612+1799.27+92788.61+621.12+32785.49+407656.49</f>
        <v>1110041.19</v>
      </c>
      <c r="Q52" s="43"/>
      <c r="R52" s="43"/>
      <c r="S52" s="33">
        <f t="shared" si="18"/>
        <v>0</v>
      </c>
      <c r="AF52" s="6"/>
      <c r="AG52" s="6"/>
      <c r="AH52" s="6"/>
      <c r="AI52" s="6"/>
      <c r="AJ52" s="6"/>
      <c r="AK52" s="6"/>
      <c r="AL52" s="6"/>
      <c r="AM52" s="1"/>
    </row>
    <row r="53" spans="1:39" s="7" customFormat="1" ht="51.75" customHeight="1" x14ac:dyDescent="0.65">
      <c r="A53" s="105"/>
      <c r="B53" s="112" t="s">
        <v>64</v>
      </c>
      <c r="C53" s="113"/>
      <c r="D53" s="114"/>
      <c r="E53" s="38">
        <f>SUM(E43:E52)</f>
        <v>12111162</v>
      </c>
      <c r="F53" s="38">
        <f t="shared" ref="F53:R53" si="20">SUM(F43:F52)</f>
        <v>1486409</v>
      </c>
      <c r="G53" s="38">
        <f t="shared" si="20"/>
        <v>0</v>
      </c>
      <c r="H53" s="38">
        <f t="shared" si="20"/>
        <v>10624753</v>
      </c>
      <c r="I53" s="38">
        <f t="shared" si="20"/>
        <v>9005859.1100000013</v>
      </c>
      <c r="J53" s="38">
        <f t="shared" si="20"/>
        <v>1316771.6300000001</v>
      </c>
      <c r="K53" s="38">
        <f t="shared" si="20"/>
        <v>0</v>
      </c>
      <c r="L53" s="38">
        <f t="shared" si="20"/>
        <v>7689087.4800000004</v>
      </c>
      <c r="M53" s="38">
        <f t="shared" si="20"/>
        <v>9005859.1100000013</v>
      </c>
      <c r="N53" s="38">
        <f t="shared" si="20"/>
        <v>1316771.6300000004</v>
      </c>
      <c r="O53" s="38">
        <f t="shared" si="20"/>
        <v>0</v>
      </c>
      <c r="P53" s="38">
        <f t="shared" si="20"/>
        <v>7689087.4800000004</v>
      </c>
      <c r="Q53" s="38">
        <f t="shared" si="20"/>
        <v>0</v>
      </c>
      <c r="R53" s="38">
        <f t="shared" si="20"/>
        <v>0</v>
      </c>
      <c r="S53" s="38">
        <f>SUM(S43:S52)</f>
        <v>0</v>
      </c>
      <c r="AF53" s="6"/>
      <c r="AG53" s="6"/>
      <c r="AH53" s="6"/>
      <c r="AI53" s="6"/>
      <c r="AJ53" s="6"/>
      <c r="AK53" s="6"/>
      <c r="AL53" s="6"/>
      <c r="AM53" s="1"/>
    </row>
    <row r="54" spans="1:39" s="25" customFormat="1" ht="110.3" customHeight="1" x14ac:dyDescent="0.7">
      <c r="A54" s="105"/>
      <c r="B54" s="91">
        <v>1617363</v>
      </c>
      <c r="C54" s="70" t="s">
        <v>21</v>
      </c>
      <c r="D54" s="41" t="s">
        <v>17</v>
      </c>
      <c r="E54" s="46">
        <f>SUM(F54)</f>
        <v>1000000</v>
      </c>
      <c r="F54" s="64">
        <v>1000000</v>
      </c>
      <c r="G54" s="64"/>
      <c r="H54" s="64"/>
      <c r="I54" s="34">
        <f>SUM(J54+K54+L54)</f>
        <v>0</v>
      </c>
      <c r="J54" s="50"/>
      <c r="K54" s="33"/>
      <c r="L54" s="33"/>
      <c r="M54" s="35">
        <f>SUM(N54+O54)</f>
        <v>0</v>
      </c>
      <c r="N54" s="33"/>
      <c r="O54" s="33"/>
      <c r="P54" s="33"/>
      <c r="Q54" s="51"/>
      <c r="R54" s="51"/>
      <c r="S54" s="33">
        <f>I54-M54</f>
        <v>0</v>
      </c>
      <c r="AF54" s="26"/>
      <c r="AG54" s="26"/>
      <c r="AH54" s="26"/>
      <c r="AI54" s="26"/>
      <c r="AJ54" s="26"/>
      <c r="AK54" s="26"/>
      <c r="AL54" s="26"/>
      <c r="AM54" s="27"/>
    </row>
    <row r="55" spans="1:39" s="25" customFormat="1" ht="161.19999999999999" customHeight="1" x14ac:dyDescent="0.7">
      <c r="A55" s="105"/>
      <c r="B55" s="93"/>
      <c r="C55" s="70" t="s">
        <v>21</v>
      </c>
      <c r="D55" s="41" t="s">
        <v>22</v>
      </c>
      <c r="E55" s="46">
        <f>SUM(F55+G55)</f>
        <v>6448607</v>
      </c>
      <c r="F55" s="64"/>
      <c r="G55" s="64">
        <v>6448607</v>
      </c>
      <c r="H55" s="64"/>
      <c r="I55" s="34">
        <f>SUM(J55+K55+L55)</f>
        <v>6370665.5799999991</v>
      </c>
      <c r="J55" s="50"/>
      <c r="K55" s="33">
        <f>2460969.62+592967.29+1044948.38+357297.02+518387.31+422977.14+502435.51+470683.31</f>
        <v>6370665.5799999991</v>
      </c>
      <c r="L55" s="33"/>
      <c r="M55" s="35">
        <f>SUM(N55+O55)</f>
        <v>6370665.5800000001</v>
      </c>
      <c r="N55" s="33"/>
      <c r="O55" s="33">
        <f>49293.26+2411676.36+581191.38+11775.91+1024002.8+20945.58+231137.95+119375.75+6783.32+507990.6+10396.71+414527.76+8449.38+492364.34+10071.17+461580.98+9102.33</f>
        <v>6370665.5800000001</v>
      </c>
      <c r="P55" s="33"/>
      <c r="Q55" s="51"/>
      <c r="R55" s="51"/>
      <c r="S55" s="33">
        <f>I55-M55</f>
        <v>0</v>
      </c>
      <c r="AF55" s="26"/>
      <c r="AG55" s="26"/>
      <c r="AH55" s="26"/>
      <c r="AI55" s="26"/>
      <c r="AJ55" s="26"/>
      <c r="AK55" s="26"/>
      <c r="AL55" s="26"/>
      <c r="AM55" s="27"/>
    </row>
    <row r="56" spans="1:39" s="25" customFormat="1" ht="186.05" customHeight="1" x14ac:dyDescent="0.7">
      <c r="A56" s="105"/>
      <c r="B56" s="93"/>
      <c r="C56" s="70" t="s">
        <v>21</v>
      </c>
      <c r="D56" s="41" t="s">
        <v>31</v>
      </c>
      <c r="E56" s="46">
        <f>SUM(F56+G56)</f>
        <v>342520</v>
      </c>
      <c r="F56" s="64"/>
      <c r="G56" s="64">
        <v>342520</v>
      </c>
      <c r="H56" s="64"/>
      <c r="I56" s="34">
        <f>SUM(J56+K56+L56)</f>
        <v>312830</v>
      </c>
      <c r="J56" s="50"/>
      <c r="K56" s="33">
        <f>312830</f>
        <v>312830</v>
      </c>
      <c r="L56" s="33"/>
      <c r="M56" s="35">
        <f>SUM(N56+O56)</f>
        <v>312830</v>
      </c>
      <c r="N56" s="33"/>
      <c r="O56" s="33">
        <f>312830</f>
        <v>312830</v>
      </c>
      <c r="P56" s="33"/>
      <c r="Q56" s="51"/>
      <c r="R56" s="51"/>
      <c r="S56" s="33">
        <f>I56-M56</f>
        <v>0</v>
      </c>
      <c r="AF56" s="26"/>
      <c r="AG56" s="26"/>
      <c r="AH56" s="26"/>
      <c r="AI56" s="26"/>
      <c r="AJ56" s="26"/>
      <c r="AK56" s="26"/>
      <c r="AL56" s="26"/>
      <c r="AM56" s="27"/>
    </row>
    <row r="57" spans="1:39" s="25" customFormat="1" ht="127.5" customHeight="1" x14ac:dyDescent="0.7">
      <c r="A57" s="105"/>
      <c r="B57" s="92"/>
      <c r="C57" s="49" t="s">
        <v>84</v>
      </c>
      <c r="D57" s="69" t="s">
        <v>85</v>
      </c>
      <c r="E57" s="46">
        <f>SUM(F57:H57)</f>
        <v>4800000</v>
      </c>
      <c r="F57" s="64"/>
      <c r="G57" s="64">
        <v>1400000</v>
      </c>
      <c r="H57" s="64">
        <v>3400000</v>
      </c>
      <c r="I57" s="34">
        <f>SUM(J57+K57+L57)</f>
        <v>2267391.7000000002</v>
      </c>
      <c r="J57" s="50"/>
      <c r="K57" s="33">
        <f>622018.65+620885.95+157095.4</f>
        <v>1400000</v>
      </c>
      <c r="L57" s="33">
        <f>8662+8612.81+850116.89</f>
        <v>867391.7</v>
      </c>
      <c r="M57" s="35">
        <f>SUM(N57+P57+O57)</f>
        <v>2267391.7000000002</v>
      </c>
      <c r="N57" s="33"/>
      <c r="O57" s="33">
        <f>622018.65+620885.95+157095.4</f>
        <v>1400000</v>
      </c>
      <c r="P57" s="33">
        <f>8662+8612.81+8505+827987.92+13623.97</f>
        <v>867391.7</v>
      </c>
      <c r="Q57" s="51"/>
      <c r="R57" s="51"/>
      <c r="S57" s="33">
        <f>I57-M57</f>
        <v>0</v>
      </c>
      <c r="AF57" s="26"/>
      <c r="AG57" s="26"/>
      <c r="AH57" s="26"/>
      <c r="AI57" s="26"/>
      <c r="AJ57" s="26"/>
      <c r="AK57" s="26"/>
      <c r="AL57" s="26"/>
      <c r="AM57" s="27"/>
    </row>
    <row r="58" spans="1:39" s="25" customFormat="1" ht="53.2" customHeight="1" x14ac:dyDescent="0.65">
      <c r="A58" s="105"/>
      <c r="B58" s="112" t="s">
        <v>65</v>
      </c>
      <c r="C58" s="113"/>
      <c r="D58" s="114"/>
      <c r="E58" s="38">
        <f>SUM(E54:E57)</f>
        <v>12591127</v>
      </c>
      <c r="F58" s="38">
        <f t="shared" ref="F58:S58" si="21">SUM(F54:F57)</f>
        <v>1000000</v>
      </c>
      <c r="G58" s="38">
        <f t="shared" si="21"/>
        <v>8191127</v>
      </c>
      <c r="H58" s="38">
        <f t="shared" si="21"/>
        <v>3400000</v>
      </c>
      <c r="I58" s="38">
        <f t="shared" si="21"/>
        <v>8950887.2799999993</v>
      </c>
      <c r="J58" s="38">
        <f t="shared" si="21"/>
        <v>0</v>
      </c>
      <c r="K58" s="38">
        <f t="shared" si="21"/>
        <v>8083495.5799999991</v>
      </c>
      <c r="L58" s="38">
        <f t="shared" si="21"/>
        <v>867391.7</v>
      </c>
      <c r="M58" s="38">
        <f t="shared" si="21"/>
        <v>8950887.2800000012</v>
      </c>
      <c r="N58" s="38">
        <f t="shared" si="21"/>
        <v>0</v>
      </c>
      <c r="O58" s="38">
        <f t="shared" si="21"/>
        <v>8083495.5800000001</v>
      </c>
      <c r="P58" s="38">
        <f t="shared" si="21"/>
        <v>867391.7</v>
      </c>
      <c r="Q58" s="38">
        <f t="shared" si="21"/>
        <v>0</v>
      </c>
      <c r="R58" s="38">
        <f t="shared" si="21"/>
        <v>0</v>
      </c>
      <c r="S58" s="38">
        <f t="shared" si="21"/>
        <v>0</v>
      </c>
      <c r="AF58" s="26"/>
      <c r="AG58" s="26"/>
      <c r="AH58" s="26"/>
      <c r="AI58" s="26"/>
      <c r="AJ58" s="26"/>
      <c r="AK58" s="26"/>
      <c r="AL58" s="26"/>
      <c r="AM58" s="27"/>
    </row>
    <row r="59" spans="1:39" s="7" customFormat="1" ht="142.55000000000001" customHeight="1" x14ac:dyDescent="0.7">
      <c r="A59" s="105"/>
      <c r="B59" s="98">
        <v>1617367</v>
      </c>
      <c r="C59" s="52">
        <v>3122</v>
      </c>
      <c r="D59" s="41" t="s">
        <v>28</v>
      </c>
      <c r="E59" s="32">
        <f>SUM(F59:H59)</f>
        <v>2666798</v>
      </c>
      <c r="F59" s="64"/>
      <c r="G59" s="64">
        <v>2506298</v>
      </c>
      <c r="H59" s="64">
        <v>160500</v>
      </c>
      <c r="I59" s="34">
        <f>SUM(J59+K59+L59)</f>
        <v>2577638.2799999998</v>
      </c>
      <c r="J59" s="53"/>
      <c r="K59" s="53">
        <f>447550.51+703828.7+510233.89+186910.15+231050.93+17570+22680+297314.1</f>
        <v>2417138.2799999998</v>
      </c>
      <c r="L59" s="53">
        <f>54177.32+78300+28022.68</f>
        <v>160500</v>
      </c>
      <c r="M59" s="35">
        <f>SUM(N59+O59+P59)</f>
        <v>2577638.2799999993</v>
      </c>
      <c r="N59" s="53"/>
      <c r="O59" s="53">
        <f>437704.56+9845.95+688163.27+15665.43+484861.04+14501.58+10871.27+183201.88+3708.27+131400+94977.66+4673.27+17570+22680+148600.9+142430.42+6282.78</f>
        <v>2417138.2799999993</v>
      </c>
      <c r="P59" s="53">
        <f>54098.32+79+78300+28022.68</f>
        <v>160500</v>
      </c>
      <c r="Q59" s="54"/>
      <c r="R59" s="54"/>
      <c r="S59" s="33">
        <f>I59-M59</f>
        <v>0</v>
      </c>
      <c r="AF59" s="6"/>
      <c r="AG59" s="6"/>
      <c r="AH59" s="6"/>
      <c r="AI59" s="6"/>
      <c r="AJ59" s="6"/>
      <c r="AK59" s="6"/>
      <c r="AL59" s="6"/>
      <c r="AM59" s="1"/>
    </row>
    <row r="60" spans="1:39" s="7" customFormat="1" ht="142.55000000000001" customHeight="1" x14ac:dyDescent="0.7">
      <c r="A60" s="105"/>
      <c r="B60" s="99"/>
      <c r="C60" s="52">
        <v>3122</v>
      </c>
      <c r="D60" s="41" t="s">
        <v>26</v>
      </c>
      <c r="E60" s="32">
        <f>SUM(F60+G60+H60)</f>
        <v>3991693</v>
      </c>
      <c r="F60" s="64"/>
      <c r="G60" s="64">
        <v>3807308</v>
      </c>
      <c r="H60" s="64">
        <v>184385</v>
      </c>
      <c r="I60" s="34">
        <f>SUM(J60+K60+L60)</f>
        <v>3473698.15</v>
      </c>
      <c r="J60" s="53"/>
      <c r="K60" s="53">
        <f>808437+2117803.05+17570+22680+322823.1</f>
        <v>3289313.15</v>
      </c>
      <c r="L60" s="53">
        <f>184385</f>
        <v>184385</v>
      </c>
      <c r="M60" s="35">
        <f>SUM(O60+P60)</f>
        <v>3473698.15</v>
      </c>
      <c r="N60" s="53"/>
      <c r="O60" s="53">
        <f>2663857+113372.4+64322.4+61606.25+23082+17570+22680+137199.6+156512.77+22590.02+6520.71</f>
        <v>3289313.15</v>
      </c>
      <c r="P60" s="53">
        <f>184385</f>
        <v>184385</v>
      </c>
      <c r="Q60" s="54"/>
      <c r="R60" s="54"/>
      <c r="S60" s="33">
        <f>I60-M60</f>
        <v>0</v>
      </c>
      <c r="AF60" s="6"/>
      <c r="AG60" s="6"/>
      <c r="AH60" s="6"/>
      <c r="AI60" s="6"/>
      <c r="AJ60" s="6"/>
      <c r="AK60" s="6"/>
      <c r="AL60" s="6"/>
      <c r="AM60" s="1"/>
    </row>
    <row r="61" spans="1:39" s="7" customFormat="1" ht="142.55000000000001" customHeight="1" x14ac:dyDescent="0.7">
      <c r="A61" s="105"/>
      <c r="B61" s="99"/>
      <c r="C61" s="52">
        <v>3122</v>
      </c>
      <c r="D61" s="41" t="s">
        <v>27</v>
      </c>
      <c r="E61" s="32">
        <f>SUM(F61+G61+H61)</f>
        <v>8691854</v>
      </c>
      <c r="F61" s="64"/>
      <c r="G61" s="64">
        <v>7822844</v>
      </c>
      <c r="H61" s="64">
        <v>869010</v>
      </c>
      <c r="I61" s="34">
        <f>SUM(J61+K61+L61)</f>
        <v>8286228.2700000014</v>
      </c>
      <c r="J61" s="53"/>
      <c r="K61" s="53">
        <f>706453+1264546.61+168306.03+158986.3+802540.81+57223.89+535795.91+519015.18+1272152.2+839282.55+330595.41+141900+518472.83+88277.86+58328.24+12500</f>
        <v>7474376.8200000012</v>
      </c>
      <c r="L61" s="53">
        <f>218999.96+18705+17661.41+89256+6366+59541+57671+141350.77+93253.61+41822.21+57599.1+9625.39</f>
        <v>811851.45</v>
      </c>
      <c r="M61" s="35">
        <f>SUM(N61+O61+P61)</f>
        <v>8286228.2700000014</v>
      </c>
      <c r="N61" s="53"/>
      <c r="O61" s="53">
        <f>1970999.61+313752.72+13539.61+474028.22+218545.83+64656+25011.91+20298.85+49882.79+7341.1+285879.98+125499.81+63249.04+33131.33+28035.75+508665.65+10349.53+1247026.36+25125.84+16672.43+822610.12+22153.04+14346.47+7557.26+120999.56+10331.49+248352.96+48754.63+22680+65597.86+12500+58328.24+10307.13+368692.45+139473.25</f>
        <v>7474376.8200000012</v>
      </c>
      <c r="P61" s="53">
        <f>218999.96+34861.41+1505+87000+2256+5550+816+31765+13945+7028+3687+3116+56520+1151+2791.77+65230.26+73328.74+1852.49+91401.12+41813.21+9432.16+193.23+56462.86+1145.24</f>
        <v>811851.45</v>
      </c>
      <c r="Q61" s="54"/>
      <c r="R61" s="54"/>
      <c r="S61" s="33">
        <f>I61-M61</f>
        <v>0</v>
      </c>
      <c r="AF61" s="6"/>
      <c r="AG61" s="6"/>
      <c r="AH61" s="6"/>
      <c r="AI61" s="6"/>
      <c r="AJ61" s="6"/>
      <c r="AK61" s="6"/>
      <c r="AL61" s="6"/>
      <c r="AM61" s="1"/>
    </row>
    <row r="62" spans="1:39" s="7" customFormat="1" ht="153.85" customHeight="1" x14ac:dyDescent="0.7">
      <c r="A62" s="105"/>
      <c r="B62" s="100"/>
      <c r="C62" s="52">
        <v>3122</v>
      </c>
      <c r="D62" s="41" t="s">
        <v>24</v>
      </c>
      <c r="E62" s="32">
        <f>SUM(F62+G62+H62)</f>
        <v>7211617</v>
      </c>
      <c r="F62" s="64"/>
      <c r="G62" s="64">
        <v>6421105</v>
      </c>
      <c r="H62" s="64">
        <v>790512</v>
      </c>
      <c r="I62" s="34">
        <f>SUM(J62+K62+L62)</f>
        <v>7202375.1999999993</v>
      </c>
      <c r="J62" s="53"/>
      <c r="K62" s="53">
        <f>448349.35+571435.3+292515.33+2614997.53+1813313.79+622115.63+42860.6+12500</f>
        <v>6418087.5299999993</v>
      </c>
      <c r="L62" s="53">
        <f>49902+64275+32504+290555.29+201479.31+88070.47+57471.6+30</f>
        <v>784287.66999999993</v>
      </c>
      <c r="M62" s="35">
        <f>SUM(N62+O62+P62)</f>
        <v>7202375.1999999993</v>
      </c>
      <c r="N62" s="53"/>
      <c r="O62" s="53">
        <f>415111.2+24229.2+9008.95+506898+53065.2+11472.1+282851.2+5885.33+3778.8+205206.96+971152.2+32517.22+44148+24457.2+1317483.6+20032.35+1307607.84+34988.4+144687.6+223017.6+56020.8+36154.35+10837.2+33125.64+122335.2+12429.99+6946.8+441252+6026+42860.6+12500</f>
        <v>6418087.5299999993</v>
      </c>
      <c r="P62" s="53">
        <f>48900+1002+63000+1275+31850+654+3613.03+53606.4+2225.82+93997.44+29206.8+107905.8+4017.15+197462.16+1381.11+19845+66874.36+57471.6</f>
        <v>784287.66999999993</v>
      </c>
      <c r="Q62" s="54"/>
      <c r="R62" s="54"/>
      <c r="S62" s="33">
        <f>I62-M62</f>
        <v>0</v>
      </c>
      <c r="AF62" s="6"/>
      <c r="AG62" s="6"/>
      <c r="AH62" s="6"/>
      <c r="AI62" s="6"/>
      <c r="AJ62" s="6"/>
      <c r="AK62" s="6"/>
      <c r="AL62" s="6"/>
      <c r="AM62" s="1"/>
    </row>
    <row r="63" spans="1:39" s="7" customFormat="1" ht="48.8" customHeight="1" x14ac:dyDescent="0.7">
      <c r="A63" s="105"/>
      <c r="B63" s="101" t="s">
        <v>89</v>
      </c>
      <c r="C63" s="102"/>
      <c r="D63" s="103"/>
      <c r="E63" s="55">
        <f>SUM(E59:E62)</f>
        <v>22561962</v>
      </c>
      <c r="F63" s="55">
        <f>SUM(F59:F59)</f>
        <v>0</v>
      </c>
      <c r="G63" s="55">
        <f>SUM(G59:G62)</f>
        <v>20557555</v>
      </c>
      <c r="H63" s="55">
        <f>SUM(H59:H62)</f>
        <v>2004407</v>
      </c>
      <c r="I63" s="55">
        <f>SUM(I59:I62)</f>
        <v>21539939.899999999</v>
      </c>
      <c r="J63" s="55">
        <f>SUM(J59:J59)</f>
        <v>0</v>
      </c>
      <c r="K63" s="55">
        <f>SUM(K59:K62)</f>
        <v>19598915.780000001</v>
      </c>
      <c r="L63" s="55">
        <f>SUM(L59:L62)</f>
        <v>1941024.1199999999</v>
      </c>
      <c r="M63" s="55">
        <f>SUM(M59:M62)</f>
        <v>21539939.899999999</v>
      </c>
      <c r="N63" s="55">
        <f>SUM(N59:N59)</f>
        <v>0</v>
      </c>
      <c r="O63" s="55">
        <f>SUM(O59:O62)</f>
        <v>19598915.780000001</v>
      </c>
      <c r="P63" s="55">
        <f>SUM(P59:P62)</f>
        <v>1941024.1199999999</v>
      </c>
      <c r="Q63" s="55">
        <f>SUM(Q59:Q59)</f>
        <v>0</v>
      </c>
      <c r="R63" s="55">
        <f>SUM(R59:R59)</f>
        <v>0</v>
      </c>
      <c r="S63" s="55">
        <f>SUM(S59:S62)</f>
        <v>0</v>
      </c>
      <c r="AF63" s="6"/>
      <c r="AG63" s="6"/>
      <c r="AH63" s="6"/>
      <c r="AI63" s="6"/>
      <c r="AJ63" s="6"/>
      <c r="AK63" s="6"/>
      <c r="AL63" s="6"/>
      <c r="AM63" s="1"/>
    </row>
    <row r="64" spans="1:39" s="7" customFormat="1" ht="183.8" customHeight="1" x14ac:dyDescent="0.7">
      <c r="A64" s="105"/>
      <c r="C64" s="56">
        <v>3142</v>
      </c>
      <c r="D64" s="57" t="s">
        <v>53</v>
      </c>
      <c r="E64" s="32">
        <f t="shared" ref="E64:E70" si="22">SUM(H64)</f>
        <v>500000</v>
      </c>
      <c r="F64" s="58"/>
      <c r="G64" s="58"/>
      <c r="H64" s="33">
        <v>500000</v>
      </c>
      <c r="I64" s="34">
        <f>SUM(J64:L64)</f>
        <v>499995</v>
      </c>
      <c r="J64" s="58"/>
      <c r="K64" s="58"/>
      <c r="L64" s="53">
        <f>450000+49905+90</f>
        <v>499995</v>
      </c>
      <c r="M64" s="35">
        <f t="shared" ref="M64:M70" si="23">SUM(N64+O64+P64)</f>
        <v>499995</v>
      </c>
      <c r="N64" s="58"/>
      <c r="O64" s="58"/>
      <c r="P64" s="53">
        <f>450000+49905+90</f>
        <v>499995</v>
      </c>
      <c r="Q64" s="58"/>
      <c r="R64" s="58"/>
      <c r="S64" s="33">
        <f>I64-M64</f>
        <v>0</v>
      </c>
      <c r="AF64" s="6"/>
      <c r="AG64" s="6"/>
      <c r="AH64" s="6"/>
      <c r="AI64" s="6"/>
      <c r="AJ64" s="6"/>
      <c r="AK64" s="6"/>
      <c r="AL64" s="6"/>
      <c r="AM64" s="1"/>
    </row>
    <row r="65" spans="1:39" s="7" customFormat="1" ht="128.30000000000001" customHeight="1" x14ac:dyDescent="0.7">
      <c r="A65" s="105"/>
      <c r="B65" s="104">
        <v>1617368</v>
      </c>
      <c r="C65" s="56">
        <v>3142</v>
      </c>
      <c r="D65" s="57" t="s">
        <v>68</v>
      </c>
      <c r="E65" s="32">
        <f t="shared" si="22"/>
        <v>239916</v>
      </c>
      <c r="F65" s="58"/>
      <c r="G65" s="58"/>
      <c r="H65" s="33">
        <v>239916</v>
      </c>
      <c r="I65" s="34">
        <f t="shared" ref="I65:I70" si="24">SUM(J65+K65+L65)</f>
        <v>0</v>
      </c>
      <c r="J65" s="58"/>
      <c r="K65" s="58"/>
      <c r="L65" s="53"/>
      <c r="M65" s="35">
        <f t="shared" si="23"/>
        <v>0</v>
      </c>
      <c r="N65" s="58"/>
      <c r="O65" s="58"/>
      <c r="P65" s="53"/>
      <c r="Q65" s="58"/>
      <c r="R65" s="58"/>
      <c r="S65" s="33">
        <f t="shared" ref="S65:S78" si="25">I65-M65</f>
        <v>0</v>
      </c>
      <c r="AF65" s="6"/>
      <c r="AG65" s="6"/>
      <c r="AH65" s="6"/>
      <c r="AI65" s="6"/>
      <c r="AJ65" s="6"/>
      <c r="AK65" s="6"/>
      <c r="AL65" s="6"/>
      <c r="AM65" s="1"/>
    </row>
    <row r="66" spans="1:39" s="7" customFormat="1" ht="198" customHeight="1" x14ac:dyDescent="0.7">
      <c r="A66" s="105"/>
      <c r="B66" s="104"/>
      <c r="C66" s="56">
        <v>3142</v>
      </c>
      <c r="D66" s="57" t="s">
        <v>69</v>
      </c>
      <c r="E66" s="32">
        <f t="shared" si="22"/>
        <v>230000</v>
      </c>
      <c r="F66" s="58"/>
      <c r="G66" s="58"/>
      <c r="H66" s="33">
        <v>230000</v>
      </c>
      <c r="I66" s="34">
        <f t="shared" si="24"/>
        <v>230000</v>
      </c>
      <c r="J66" s="58"/>
      <c r="K66" s="58"/>
      <c r="L66" s="33">
        <f>230000</f>
        <v>230000</v>
      </c>
      <c r="M66" s="35">
        <f t="shared" si="23"/>
        <v>230000</v>
      </c>
      <c r="N66" s="58"/>
      <c r="O66" s="58"/>
      <c r="P66" s="53">
        <f>230000</f>
        <v>230000</v>
      </c>
      <c r="Q66" s="58"/>
      <c r="R66" s="58"/>
      <c r="S66" s="33">
        <f t="shared" si="25"/>
        <v>0</v>
      </c>
      <c r="AF66" s="6"/>
      <c r="AG66" s="6"/>
      <c r="AH66" s="6"/>
      <c r="AI66" s="6"/>
      <c r="AJ66" s="6"/>
      <c r="AK66" s="6"/>
      <c r="AL66" s="6"/>
      <c r="AM66" s="1"/>
    </row>
    <row r="67" spans="1:39" s="7" customFormat="1" ht="95.25" customHeight="1" x14ac:dyDescent="0.7">
      <c r="A67" s="105"/>
      <c r="B67" s="67"/>
      <c r="C67" s="56">
        <v>3132</v>
      </c>
      <c r="D67" s="57" t="s">
        <v>70</v>
      </c>
      <c r="E67" s="32">
        <f t="shared" si="22"/>
        <v>450000</v>
      </c>
      <c r="F67" s="58"/>
      <c r="G67" s="58"/>
      <c r="H67" s="33">
        <v>450000</v>
      </c>
      <c r="I67" s="34">
        <f t="shared" si="24"/>
        <v>0</v>
      </c>
      <c r="J67" s="58"/>
      <c r="K67" s="58"/>
      <c r="L67" s="33"/>
      <c r="M67" s="35">
        <f t="shared" si="23"/>
        <v>0</v>
      </c>
      <c r="N67" s="58"/>
      <c r="O67" s="58"/>
      <c r="P67" s="53"/>
      <c r="Q67" s="58"/>
      <c r="R67" s="58"/>
      <c r="S67" s="33">
        <f t="shared" si="25"/>
        <v>0</v>
      </c>
      <c r="AF67" s="6"/>
      <c r="AG67" s="6"/>
      <c r="AH67" s="6"/>
      <c r="AI67" s="6"/>
      <c r="AJ67" s="6"/>
      <c r="AK67" s="6"/>
      <c r="AL67" s="6"/>
      <c r="AM67" s="1"/>
    </row>
    <row r="68" spans="1:39" s="7" customFormat="1" ht="188.2" customHeight="1" x14ac:dyDescent="0.7">
      <c r="A68" s="105"/>
      <c r="B68" s="67"/>
      <c r="C68" s="56">
        <v>3142</v>
      </c>
      <c r="D68" s="57" t="s">
        <v>71</v>
      </c>
      <c r="E68" s="32">
        <f t="shared" si="22"/>
        <v>500000</v>
      </c>
      <c r="F68" s="58"/>
      <c r="G68" s="58"/>
      <c r="H68" s="33">
        <v>500000</v>
      </c>
      <c r="I68" s="34">
        <f t="shared" si="24"/>
        <v>499990</v>
      </c>
      <c r="J68" s="58"/>
      <c r="K68" s="58"/>
      <c r="L68" s="33">
        <f>150000+300000+49800+190</f>
        <v>499990</v>
      </c>
      <c r="M68" s="35">
        <f t="shared" si="23"/>
        <v>499990</v>
      </c>
      <c r="N68" s="58"/>
      <c r="O68" s="58"/>
      <c r="P68" s="53">
        <f>150000+300000+49800+190</f>
        <v>499990</v>
      </c>
      <c r="Q68" s="58"/>
      <c r="R68" s="58"/>
      <c r="S68" s="33">
        <f t="shared" si="25"/>
        <v>0</v>
      </c>
      <c r="AF68" s="6"/>
      <c r="AG68" s="6"/>
      <c r="AH68" s="6"/>
      <c r="AI68" s="6"/>
      <c r="AJ68" s="6"/>
      <c r="AK68" s="6"/>
      <c r="AL68" s="6"/>
      <c r="AM68" s="1"/>
    </row>
    <row r="69" spans="1:39" s="7" customFormat="1" ht="115.55" customHeight="1" x14ac:dyDescent="0.7">
      <c r="A69" s="105"/>
      <c r="B69" s="67"/>
      <c r="C69" s="56">
        <v>3142</v>
      </c>
      <c r="D69" s="57" t="s">
        <v>72</v>
      </c>
      <c r="E69" s="32">
        <f t="shared" si="22"/>
        <v>630000</v>
      </c>
      <c r="F69" s="58"/>
      <c r="G69" s="58"/>
      <c r="H69" s="33">
        <v>630000</v>
      </c>
      <c r="I69" s="34">
        <f t="shared" si="24"/>
        <v>0</v>
      </c>
      <c r="J69" s="58"/>
      <c r="K69" s="58"/>
      <c r="L69" s="33"/>
      <c r="M69" s="35">
        <f t="shared" si="23"/>
        <v>0</v>
      </c>
      <c r="N69" s="58"/>
      <c r="O69" s="58"/>
      <c r="P69" s="53"/>
      <c r="Q69" s="58"/>
      <c r="R69" s="58"/>
      <c r="S69" s="33">
        <f t="shared" si="25"/>
        <v>0</v>
      </c>
      <c r="AF69" s="6"/>
      <c r="AG69" s="6"/>
      <c r="AH69" s="6"/>
      <c r="AI69" s="6"/>
      <c r="AJ69" s="6"/>
      <c r="AK69" s="6"/>
      <c r="AL69" s="6"/>
      <c r="AM69" s="1"/>
    </row>
    <row r="70" spans="1:39" s="7" customFormat="1" ht="152.19999999999999" customHeight="1" x14ac:dyDescent="0.7">
      <c r="A70" s="105"/>
      <c r="B70" s="68"/>
      <c r="C70" s="56">
        <v>3142</v>
      </c>
      <c r="D70" s="57" t="s">
        <v>73</v>
      </c>
      <c r="E70" s="32">
        <f t="shared" si="22"/>
        <v>707000</v>
      </c>
      <c r="F70" s="58"/>
      <c r="G70" s="58"/>
      <c r="H70" s="33">
        <v>707000</v>
      </c>
      <c r="I70" s="34">
        <f t="shared" si="24"/>
        <v>230000</v>
      </c>
      <c r="J70" s="58"/>
      <c r="K70" s="58"/>
      <c r="L70" s="33">
        <f>230000</f>
        <v>230000</v>
      </c>
      <c r="M70" s="35">
        <f t="shared" si="23"/>
        <v>230000</v>
      </c>
      <c r="N70" s="58"/>
      <c r="O70" s="58"/>
      <c r="P70" s="53">
        <f>230000</f>
        <v>230000</v>
      </c>
      <c r="Q70" s="58"/>
      <c r="R70" s="58"/>
      <c r="S70" s="33">
        <f t="shared" si="25"/>
        <v>0</v>
      </c>
      <c r="AF70" s="6"/>
      <c r="AG70" s="6"/>
      <c r="AH70" s="6"/>
      <c r="AI70" s="6"/>
      <c r="AJ70" s="6"/>
      <c r="AK70" s="6"/>
      <c r="AL70" s="6"/>
      <c r="AM70" s="1"/>
    </row>
    <row r="71" spans="1:39" s="7" customFormat="1" ht="261" customHeight="1" x14ac:dyDescent="0.7">
      <c r="A71" s="76"/>
      <c r="B71" s="73"/>
      <c r="C71" s="30">
        <v>3142</v>
      </c>
      <c r="D71" s="31" t="s">
        <v>88</v>
      </c>
      <c r="E71" s="32">
        <f>SUM(H71+G71+F71)</f>
        <v>500000</v>
      </c>
      <c r="F71" s="33"/>
      <c r="G71" s="33"/>
      <c r="H71" s="33">
        <v>500000</v>
      </c>
      <c r="I71" s="34">
        <f>SUM(J71:L71)</f>
        <v>500000</v>
      </c>
      <c r="J71" s="33"/>
      <c r="K71" s="33"/>
      <c r="L71" s="33">
        <f>150000+349800+57+143</f>
        <v>500000</v>
      </c>
      <c r="M71" s="35">
        <f>SUM(N71:P71)</f>
        <v>500000</v>
      </c>
      <c r="N71" s="33"/>
      <c r="O71" s="33"/>
      <c r="P71" s="36">
        <f>150000+349800+57+10+133</f>
        <v>500000</v>
      </c>
      <c r="Q71" s="33"/>
      <c r="R71" s="33"/>
      <c r="S71" s="33">
        <f t="shared" si="25"/>
        <v>0</v>
      </c>
      <c r="AF71" s="6"/>
      <c r="AG71" s="6"/>
      <c r="AH71" s="6"/>
      <c r="AI71" s="6"/>
      <c r="AJ71" s="6"/>
      <c r="AK71" s="6"/>
      <c r="AL71" s="6"/>
      <c r="AM71" s="1"/>
    </row>
    <row r="72" spans="1:39" s="7" customFormat="1" ht="214.55" customHeight="1" x14ac:dyDescent="0.7">
      <c r="A72" s="76"/>
      <c r="B72" s="73"/>
      <c r="C72" s="30">
        <v>3142</v>
      </c>
      <c r="D72" s="31" t="s">
        <v>76</v>
      </c>
      <c r="E72" s="32">
        <f>SUM(F72+G72+H72)</f>
        <v>707000</v>
      </c>
      <c r="F72" s="33"/>
      <c r="G72" s="33"/>
      <c r="H72" s="33">
        <v>707000</v>
      </c>
      <c r="I72" s="34">
        <f>SUM(J72+K72+L72)</f>
        <v>225000</v>
      </c>
      <c r="J72" s="33"/>
      <c r="K72" s="33"/>
      <c r="L72" s="33">
        <f>225000</f>
        <v>225000</v>
      </c>
      <c r="M72" s="35">
        <f>SUM(N72+O72+P72)</f>
        <v>225000</v>
      </c>
      <c r="N72" s="33"/>
      <c r="O72" s="33"/>
      <c r="P72" s="36">
        <f>225000</f>
        <v>225000</v>
      </c>
      <c r="Q72" s="33"/>
      <c r="R72" s="33"/>
      <c r="S72" s="33">
        <f t="shared" si="25"/>
        <v>0</v>
      </c>
      <c r="AF72" s="6"/>
      <c r="AG72" s="6"/>
      <c r="AH72" s="6"/>
      <c r="AI72" s="6"/>
      <c r="AJ72" s="6"/>
      <c r="AK72" s="6"/>
      <c r="AL72" s="6"/>
      <c r="AM72" s="1"/>
    </row>
    <row r="73" spans="1:39" s="7" customFormat="1" ht="146.30000000000001" customHeight="1" x14ac:dyDescent="0.7">
      <c r="A73" s="76"/>
      <c r="B73" s="73"/>
      <c r="C73" s="30">
        <v>3142</v>
      </c>
      <c r="D73" s="31" t="s">
        <v>55</v>
      </c>
      <c r="E73" s="32">
        <f>SUM(H73)</f>
        <v>500000</v>
      </c>
      <c r="F73" s="33"/>
      <c r="G73" s="33"/>
      <c r="H73" s="33">
        <v>500000</v>
      </c>
      <c r="I73" s="34">
        <f t="shared" ref="I73:I78" si="26">SUM(J73:L73)</f>
        <v>499800</v>
      </c>
      <c r="J73" s="33"/>
      <c r="K73" s="33"/>
      <c r="L73" s="33">
        <f>150000+349800</f>
        <v>499800</v>
      </c>
      <c r="M73" s="35">
        <f t="shared" ref="M73:M78" si="27">SUM(N73:P73)</f>
        <v>499800</v>
      </c>
      <c r="N73" s="33"/>
      <c r="O73" s="33"/>
      <c r="P73" s="36">
        <f>150000+349800</f>
        <v>499800</v>
      </c>
      <c r="Q73" s="33"/>
      <c r="R73" s="33"/>
      <c r="S73" s="33">
        <f t="shared" si="25"/>
        <v>0</v>
      </c>
      <c r="AF73" s="6"/>
      <c r="AG73" s="6"/>
      <c r="AH73" s="6"/>
      <c r="AI73" s="6"/>
      <c r="AJ73" s="6"/>
      <c r="AK73" s="6"/>
      <c r="AL73" s="6"/>
      <c r="AM73" s="1"/>
    </row>
    <row r="74" spans="1:39" s="7" customFormat="1" ht="193.6" customHeight="1" x14ac:dyDescent="0.7">
      <c r="A74" s="76"/>
      <c r="B74" s="73"/>
      <c r="C74" s="30">
        <v>3142</v>
      </c>
      <c r="D74" s="31" t="s">
        <v>54</v>
      </c>
      <c r="E74" s="32">
        <f>SUM(H74)</f>
        <v>500000</v>
      </c>
      <c r="G74" s="33"/>
      <c r="H74" s="33">
        <v>500000</v>
      </c>
      <c r="I74" s="34">
        <f t="shared" si="26"/>
        <v>500000</v>
      </c>
      <c r="J74" s="33"/>
      <c r="K74" s="33"/>
      <c r="L74" s="33">
        <f>499905+95</f>
        <v>500000</v>
      </c>
      <c r="M74" s="35">
        <f t="shared" si="27"/>
        <v>500000</v>
      </c>
      <c r="N74" s="33"/>
      <c r="O74" s="33"/>
      <c r="P74" s="36">
        <f>499905+95</f>
        <v>500000</v>
      </c>
      <c r="Q74" s="33"/>
      <c r="R74" s="33"/>
      <c r="S74" s="33">
        <f t="shared" si="25"/>
        <v>0</v>
      </c>
      <c r="AF74" s="6"/>
      <c r="AG74" s="6"/>
      <c r="AH74" s="6"/>
      <c r="AI74" s="6"/>
      <c r="AJ74" s="6"/>
      <c r="AK74" s="6"/>
      <c r="AL74" s="6"/>
      <c r="AM74" s="1"/>
    </row>
    <row r="75" spans="1:39" s="7" customFormat="1" ht="138.80000000000001" customHeight="1" x14ac:dyDescent="0.7">
      <c r="A75" s="76"/>
      <c r="B75" s="73"/>
      <c r="C75" s="30">
        <v>3122</v>
      </c>
      <c r="D75" s="31" t="s">
        <v>91</v>
      </c>
      <c r="E75" s="32">
        <f>SUM(H75)</f>
        <v>1000000</v>
      </c>
      <c r="G75" s="33"/>
      <c r="H75" s="33">
        <v>1000000</v>
      </c>
      <c r="I75" s="34">
        <f t="shared" si="26"/>
        <v>990584.94</v>
      </c>
      <c r="J75" s="33"/>
      <c r="K75" s="33"/>
      <c r="L75" s="33">
        <f>458424.6+197615.76+334544.58</f>
        <v>990584.94</v>
      </c>
      <c r="M75" s="35">
        <f t="shared" si="27"/>
        <v>990584.94</v>
      </c>
      <c r="N75" s="33"/>
      <c r="O75" s="33"/>
      <c r="P75" s="36">
        <f>295897.31+9131.03+3880.86+193734.9+153396.26+6739.71+168492.26+159312.61</f>
        <v>990584.94</v>
      </c>
      <c r="Q75" s="33"/>
      <c r="R75" s="33"/>
      <c r="S75" s="33">
        <f t="shared" si="25"/>
        <v>0</v>
      </c>
      <c r="AF75" s="6"/>
      <c r="AG75" s="6"/>
      <c r="AH75" s="6"/>
      <c r="AI75" s="6"/>
      <c r="AJ75" s="6"/>
      <c r="AK75" s="6"/>
      <c r="AL75" s="6"/>
      <c r="AM75" s="1"/>
    </row>
    <row r="76" spans="1:39" s="7" customFormat="1" ht="138.80000000000001" customHeight="1" x14ac:dyDescent="0.7">
      <c r="A76" s="105"/>
      <c r="B76" s="73"/>
      <c r="C76" s="30">
        <v>3142</v>
      </c>
      <c r="D76" s="31" t="s">
        <v>77</v>
      </c>
      <c r="E76" s="32">
        <f>SUM(H76)</f>
        <v>2000000</v>
      </c>
      <c r="F76" s="33"/>
      <c r="G76" s="33"/>
      <c r="H76" s="33">
        <v>2000000</v>
      </c>
      <c r="I76" s="34">
        <f t="shared" si="26"/>
        <v>1250992.19</v>
      </c>
      <c r="J76" s="33"/>
      <c r="K76" s="33"/>
      <c r="L76" s="33">
        <f>582500+14580+653912.19</f>
        <v>1250992.19</v>
      </c>
      <c r="M76" s="35">
        <f t="shared" si="27"/>
        <v>1250992.1900000002</v>
      </c>
      <c r="N76" s="33"/>
      <c r="O76" s="33"/>
      <c r="P76" s="36">
        <f>582500+14580+197775.28+432697.34+23439.57</f>
        <v>1250992.1900000002</v>
      </c>
      <c r="Q76" s="33"/>
      <c r="R76" s="33"/>
      <c r="S76" s="33">
        <f t="shared" si="25"/>
        <v>0</v>
      </c>
      <c r="AF76" s="6"/>
      <c r="AG76" s="6"/>
      <c r="AH76" s="6"/>
      <c r="AI76" s="6"/>
      <c r="AJ76" s="6"/>
      <c r="AK76" s="6"/>
      <c r="AL76" s="6"/>
      <c r="AM76" s="1"/>
    </row>
    <row r="77" spans="1:39" s="7" customFormat="1" ht="216.85" customHeight="1" x14ac:dyDescent="0.7">
      <c r="A77" s="105"/>
      <c r="B77" s="73"/>
      <c r="C77" s="30">
        <v>3142</v>
      </c>
      <c r="D77" s="31" t="s">
        <v>92</v>
      </c>
      <c r="E77" s="32">
        <v>250000</v>
      </c>
      <c r="F77" s="33"/>
      <c r="G77" s="33"/>
      <c r="H77" s="33">
        <v>250000</v>
      </c>
      <c r="I77" s="34">
        <f t="shared" si="26"/>
        <v>244838.74</v>
      </c>
      <c r="J77" s="33"/>
      <c r="K77" s="33"/>
      <c r="L77" s="33">
        <f>195038.74+49800</f>
        <v>244838.74</v>
      </c>
      <c r="M77" s="35">
        <f t="shared" si="27"/>
        <v>244838.74</v>
      </c>
      <c r="N77" s="33"/>
      <c r="O77" s="33"/>
      <c r="P77" s="36">
        <f>49000+49518+46777.5+49743.24+49800</f>
        <v>244838.74</v>
      </c>
      <c r="Q77" s="33"/>
      <c r="R77" s="33"/>
      <c r="S77" s="33">
        <f t="shared" si="25"/>
        <v>0</v>
      </c>
      <c r="AF77" s="6"/>
      <c r="AG77" s="6"/>
      <c r="AH77" s="6"/>
      <c r="AI77" s="6"/>
      <c r="AJ77" s="6"/>
      <c r="AK77" s="6"/>
      <c r="AL77" s="6"/>
      <c r="AM77" s="1"/>
    </row>
    <row r="78" spans="1:39" s="7" customFormat="1" ht="253.5" customHeight="1" x14ac:dyDescent="0.7">
      <c r="A78" s="105"/>
      <c r="B78" s="73"/>
      <c r="C78" s="30">
        <v>3142</v>
      </c>
      <c r="D78" s="31" t="s">
        <v>79</v>
      </c>
      <c r="E78" s="32">
        <f>SUM(H78)</f>
        <v>1661000</v>
      </c>
      <c r="F78" s="33"/>
      <c r="G78" s="33"/>
      <c r="H78" s="33">
        <v>1661000</v>
      </c>
      <c r="I78" s="34">
        <f t="shared" si="26"/>
        <v>225000</v>
      </c>
      <c r="J78" s="33"/>
      <c r="K78" s="33"/>
      <c r="L78" s="33">
        <f>225000</f>
        <v>225000</v>
      </c>
      <c r="M78" s="35">
        <f t="shared" si="27"/>
        <v>225000</v>
      </c>
      <c r="N78" s="33"/>
      <c r="O78" s="33"/>
      <c r="P78" s="36">
        <f>225000</f>
        <v>225000</v>
      </c>
      <c r="Q78" s="33"/>
      <c r="R78" s="33"/>
      <c r="S78" s="33">
        <f t="shared" si="25"/>
        <v>0</v>
      </c>
      <c r="AF78" s="6"/>
      <c r="AG78" s="6"/>
      <c r="AH78" s="6"/>
      <c r="AI78" s="6"/>
      <c r="AJ78" s="6"/>
      <c r="AK78" s="6"/>
      <c r="AL78" s="6"/>
      <c r="AM78" s="1"/>
    </row>
    <row r="79" spans="1:39" s="7" customFormat="1" ht="35.200000000000003" customHeight="1" x14ac:dyDescent="0.7">
      <c r="A79" s="105"/>
      <c r="B79" s="107" t="s">
        <v>66</v>
      </c>
      <c r="C79" s="107"/>
      <c r="D79" s="107"/>
      <c r="E79" s="59">
        <f>SUM(E64:E78)</f>
        <v>10374916</v>
      </c>
      <c r="F79" s="59">
        <f t="shared" ref="F79:S79" si="28">SUM(F64:F78)</f>
        <v>0</v>
      </c>
      <c r="G79" s="59">
        <f t="shared" si="28"/>
        <v>0</v>
      </c>
      <c r="H79" s="59">
        <f t="shared" si="28"/>
        <v>10374916</v>
      </c>
      <c r="I79" s="59">
        <f t="shared" si="28"/>
        <v>5896200.8700000001</v>
      </c>
      <c r="J79" s="59">
        <f t="shared" si="28"/>
        <v>0</v>
      </c>
      <c r="K79" s="59">
        <f t="shared" si="28"/>
        <v>0</v>
      </c>
      <c r="L79" s="59">
        <f t="shared" si="28"/>
        <v>5896200.8700000001</v>
      </c>
      <c r="M79" s="59">
        <f t="shared" si="28"/>
        <v>5896200.8700000001</v>
      </c>
      <c r="N79" s="59">
        <f t="shared" si="28"/>
        <v>0</v>
      </c>
      <c r="O79" s="59">
        <f t="shared" si="28"/>
        <v>0</v>
      </c>
      <c r="P79" s="59">
        <f t="shared" si="28"/>
        <v>5896200.8700000001</v>
      </c>
      <c r="Q79" s="59">
        <f t="shared" si="28"/>
        <v>0</v>
      </c>
      <c r="R79" s="59">
        <f t="shared" si="28"/>
        <v>0</v>
      </c>
      <c r="S79" s="59">
        <f t="shared" si="28"/>
        <v>0</v>
      </c>
      <c r="AF79" s="6"/>
      <c r="AG79" s="6"/>
      <c r="AH79" s="6"/>
      <c r="AI79" s="6"/>
      <c r="AJ79" s="6"/>
      <c r="AK79" s="6"/>
      <c r="AL79" s="6"/>
      <c r="AM79" s="1"/>
    </row>
    <row r="80" spans="1:39" s="7" customFormat="1" ht="183.8" customHeight="1" x14ac:dyDescent="0.7">
      <c r="A80" s="105"/>
      <c r="B80" s="108">
        <v>1617369</v>
      </c>
      <c r="C80" s="56">
        <v>3142</v>
      </c>
      <c r="D80" s="57" t="s">
        <v>52</v>
      </c>
      <c r="E80" s="32">
        <f>SUM(F80+G80+H80)</f>
        <v>17800535</v>
      </c>
      <c r="F80" s="71">
        <v>6300535</v>
      </c>
      <c r="G80" s="33">
        <f>8000000+3500000</f>
        <v>11500000</v>
      </c>
      <c r="H80" s="33"/>
      <c r="I80" s="34">
        <f>SUM(J80:L80)</f>
        <v>11659287.42</v>
      </c>
      <c r="J80" s="72">
        <f>27850.63+39381.18+2480.68+106584.93</f>
        <v>176297.41999999998</v>
      </c>
      <c r="K80" s="33">
        <f>2330028.6+152250+1448236.09+571925.96+1646606.87+17010+137418.56+5179513.92</f>
        <v>11482990</v>
      </c>
      <c r="L80" s="53"/>
      <c r="M80" s="35">
        <f>SUM(N80+O80+P80)</f>
        <v>11659287.419999998</v>
      </c>
      <c r="N80" s="72">
        <f>27850.63+39381.18+2480.68+12116.74+94468.19</f>
        <v>176297.41999999998</v>
      </c>
      <c r="O80" s="71">
        <f>2330028.6+152250+17245.09+47063+747279.53+597017.12+39631.35+170647.65+7707.53+297298.12+76200.37+1570406.5+137418.56+17010+451900.87+148779.58+12308.06+25174.67+1137623.4+3500000</f>
        <v>11482989.999999998</v>
      </c>
      <c r="P80" s="53"/>
      <c r="Q80" s="58"/>
      <c r="R80" s="58"/>
      <c r="S80" s="33">
        <f t="shared" ref="S80:S86" si="29">I80-M80</f>
        <v>0</v>
      </c>
      <c r="AF80" s="6"/>
      <c r="AG80" s="6"/>
      <c r="AH80" s="6"/>
      <c r="AI80" s="6"/>
      <c r="AJ80" s="6"/>
      <c r="AK80" s="6"/>
      <c r="AL80" s="6"/>
      <c r="AM80" s="1"/>
    </row>
    <row r="81" spans="1:39" s="7" customFormat="1" ht="188.2" customHeight="1" x14ac:dyDescent="0.7">
      <c r="A81" s="105"/>
      <c r="B81" s="109"/>
      <c r="C81" s="56">
        <v>3142</v>
      </c>
      <c r="D81" s="57" t="s">
        <v>71</v>
      </c>
      <c r="E81" s="32">
        <f t="shared" ref="E81:E86" si="30">SUM(F81+G81+H81)</f>
        <v>8000000</v>
      </c>
      <c r="F81" s="58"/>
      <c r="G81" s="33">
        <v>8000000</v>
      </c>
      <c r="H81" s="33"/>
      <c r="I81" s="34">
        <f>SUM(J81+K81+L81)</f>
        <v>7969262.8600000003</v>
      </c>
      <c r="J81" s="58"/>
      <c r="K81" s="33">
        <f>2330057.1+15312+114840+689414.48+4674700.37+144938.91</f>
        <v>7969262.8600000003</v>
      </c>
      <c r="L81" s="33"/>
      <c r="M81" s="35">
        <f>SUM(N81+O81+P81)</f>
        <v>7969262.8599999994</v>
      </c>
      <c r="N81" s="58"/>
      <c r="O81" s="33">
        <f>2330057.1+15312+114840+657338.4+32076.08+142201.4+2737.51+118190.27+4537070.1+19440</f>
        <v>7969262.8599999994</v>
      </c>
      <c r="P81" s="53"/>
      <c r="Q81" s="58"/>
      <c r="R81" s="58"/>
      <c r="S81" s="33">
        <f t="shared" si="29"/>
        <v>0</v>
      </c>
      <c r="AF81" s="6"/>
      <c r="AG81" s="6"/>
      <c r="AH81" s="6"/>
      <c r="AI81" s="6"/>
      <c r="AJ81" s="6"/>
      <c r="AK81" s="6"/>
      <c r="AL81" s="6"/>
      <c r="AM81" s="1"/>
    </row>
    <row r="82" spans="1:39" s="7" customFormat="1" ht="227.95" customHeight="1" x14ac:dyDescent="0.7">
      <c r="A82" s="105"/>
      <c r="B82" s="109"/>
      <c r="C82" s="30">
        <v>3142</v>
      </c>
      <c r="D82" s="31" t="s">
        <v>56</v>
      </c>
      <c r="E82" s="32">
        <f t="shared" si="30"/>
        <v>9500000</v>
      </c>
      <c r="F82" s="33"/>
      <c r="G82" s="33">
        <f>8000000+1500000</f>
        <v>9500000</v>
      </c>
      <c r="H82" s="33"/>
      <c r="I82" s="34">
        <f>SUM(J82:L82)</f>
        <v>9455911.0800000001</v>
      </c>
      <c r="J82" s="33"/>
      <c r="K82" s="33">
        <f>2330058.6+133980+1219380+1149930.05+19440+3117054.45+1486067.98</f>
        <v>9455911.0800000001</v>
      </c>
      <c r="L82" s="33"/>
      <c r="M82" s="35">
        <f>SUM(N82:P82)</f>
        <v>9455911.0800000001</v>
      </c>
      <c r="N82" s="33"/>
      <c r="O82" s="33">
        <f>2330058.6+133980+23784+508702.8+24105+134578.8+1610717.4+67422.05+19440+61550.05+3055504.4+783618.69+483016.3+29817.98+189615.01</f>
        <v>9455911.0800000001</v>
      </c>
      <c r="P82" s="36"/>
      <c r="Q82" s="33"/>
      <c r="R82" s="33"/>
      <c r="S82" s="33">
        <f t="shared" si="29"/>
        <v>0</v>
      </c>
      <c r="AF82" s="6"/>
      <c r="AG82" s="6"/>
      <c r="AH82" s="6"/>
      <c r="AI82" s="6"/>
      <c r="AJ82" s="6"/>
      <c r="AK82" s="6"/>
      <c r="AL82" s="6"/>
      <c r="AM82" s="1"/>
    </row>
    <row r="83" spans="1:39" s="7" customFormat="1" ht="183.8" customHeight="1" x14ac:dyDescent="0.7">
      <c r="A83" s="105"/>
      <c r="B83" s="109"/>
      <c r="C83" s="30">
        <v>3142</v>
      </c>
      <c r="D83" s="57" t="s">
        <v>53</v>
      </c>
      <c r="E83" s="32">
        <f t="shared" si="30"/>
        <v>8000000</v>
      </c>
      <c r="F83" s="58"/>
      <c r="G83" s="33">
        <v>8000000</v>
      </c>
      <c r="H83" s="33"/>
      <c r="I83" s="34">
        <f>SUM(J83:L83)</f>
        <v>7180677.4900000002</v>
      </c>
      <c r="J83" s="58"/>
      <c r="K83" s="33">
        <f>2084696.88+87360+687497.1+4156928.18+164195.33</f>
        <v>7180677.4900000002</v>
      </c>
      <c r="L83" s="53"/>
      <c r="M83" s="35">
        <f>SUM(N83+O83+P83)</f>
        <v>7180677.4899999993</v>
      </c>
      <c r="N83" s="58"/>
      <c r="O83" s="33">
        <f>2084696.88+87360+22383.9+624972+40141.2+111919.85+115866.92+3922053.91+8079.43+3026.64+153089.26+7087.5</f>
        <v>7180677.4899999993</v>
      </c>
      <c r="P83" s="53"/>
      <c r="Q83" s="58"/>
      <c r="R83" s="58"/>
      <c r="S83" s="33">
        <f t="shared" si="29"/>
        <v>0</v>
      </c>
      <c r="AF83" s="6"/>
      <c r="AG83" s="6"/>
      <c r="AH83" s="6"/>
      <c r="AI83" s="6"/>
      <c r="AJ83" s="6"/>
      <c r="AK83" s="6"/>
      <c r="AL83" s="6"/>
      <c r="AM83" s="1"/>
    </row>
    <row r="84" spans="1:39" s="7" customFormat="1" ht="146.30000000000001" customHeight="1" x14ac:dyDescent="0.7">
      <c r="A84" s="105"/>
      <c r="B84" s="109"/>
      <c r="C84" s="30">
        <v>3142</v>
      </c>
      <c r="D84" s="31" t="s">
        <v>55</v>
      </c>
      <c r="E84" s="32">
        <f t="shared" si="30"/>
        <v>8000000</v>
      </c>
      <c r="F84" s="33"/>
      <c r="G84" s="33">
        <v>8000000</v>
      </c>
      <c r="H84" s="33"/>
      <c r="I84" s="34">
        <f>SUM(J84:L84)</f>
        <v>0</v>
      </c>
      <c r="J84" s="33"/>
      <c r="K84" s="33"/>
      <c r="L84" s="33"/>
      <c r="M84" s="35">
        <f>SUM(N84:P84)</f>
        <v>0</v>
      </c>
      <c r="N84" s="33"/>
      <c r="O84" s="33"/>
      <c r="P84" s="36"/>
      <c r="Q84" s="33"/>
      <c r="R84" s="33"/>
      <c r="S84" s="33">
        <f t="shared" si="29"/>
        <v>0</v>
      </c>
      <c r="AF84" s="6"/>
      <c r="AG84" s="6"/>
      <c r="AH84" s="6"/>
      <c r="AI84" s="6"/>
      <c r="AJ84" s="6"/>
      <c r="AK84" s="6"/>
      <c r="AL84" s="6"/>
      <c r="AM84" s="1"/>
    </row>
    <row r="85" spans="1:39" s="7" customFormat="1" ht="193.6" customHeight="1" x14ac:dyDescent="0.7">
      <c r="A85" s="105"/>
      <c r="B85" s="109"/>
      <c r="C85" s="30">
        <v>3142</v>
      </c>
      <c r="D85" s="31" t="s">
        <v>54</v>
      </c>
      <c r="E85" s="32">
        <f t="shared" si="30"/>
        <v>9500000</v>
      </c>
      <c r="G85" s="33">
        <f>8000000+1500000</f>
        <v>9500000</v>
      </c>
      <c r="H85" s="33"/>
      <c r="I85" s="34">
        <f>SUM(J85:L85)</f>
        <v>9469732.9100000001</v>
      </c>
      <c r="J85" s="33"/>
      <c r="K85" s="33">
        <f>143167.5+1715603.81+162066.27+17010+4081818.86+3350066.47</f>
        <v>9469732.9100000001</v>
      </c>
      <c r="L85" s="33"/>
      <c r="M85" s="35">
        <f>SUM(N85:P85)</f>
        <v>9469732.910000002</v>
      </c>
      <c r="N85" s="33"/>
      <c r="O85" s="33">
        <f>143167.5+1682001.77+33602.04+158441.84+3624.43+3953432.98+48548.8+79837.08+17010+296564.58+1611103.96+65824.86+994189.92+169245.5+213137.65</f>
        <v>9469732.910000002</v>
      </c>
      <c r="P85" s="36"/>
      <c r="Q85" s="33"/>
      <c r="R85" s="33"/>
      <c r="S85" s="33">
        <f t="shared" si="29"/>
        <v>0</v>
      </c>
      <c r="AF85" s="6"/>
      <c r="AG85" s="6"/>
      <c r="AH85" s="6"/>
      <c r="AI85" s="6"/>
      <c r="AJ85" s="6"/>
      <c r="AK85" s="6"/>
      <c r="AL85" s="6"/>
      <c r="AM85" s="1"/>
    </row>
    <row r="86" spans="1:39" s="7" customFormat="1" ht="263.3" customHeight="1" x14ac:dyDescent="0.7">
      <c r="A86" s="106"/>
      <c r="B86" s="110"/>
      <c r="C86" s="30">
        <v>3142</v>
      </c>
      <c r="D86" s="31" t="s">
        <v>88</v>
      </c>
      <c r="E86" s="32">
        <f t="shared" si="30"/>
        <v>9500000</v>
      </c>
      <c r="F86" s="33"/>
      <c r="G86" s="33">
        <f>8000000+1500000</f>
        <v>9500000</v>
      </c>
      <c r="H86" s="33"/>
      <c r="I86" s="34">
        <f>SUM(J86:L86)</f>
        <v>9472880.4500000011</v>
      </c>
      <c r="J86" s="33"/>
      <c r="K86" s="33">
        <f>2330000.1+104496+662003.24+3355175.63+1523317.12+1497888.37-0.01</f>
        <v>9472880.4500000011</v>
      </c>
      <c r="L86" s="33"/>
      <c r="M86" s="35">
        <f>SUM(N86:P86)</f>
        <v>9472880.4499999993</v>
      </c>
      <c r="N86" s="33"/>
      <c r="O86" s="33">
        <f>2330000.1+104496+33173.09+628830.15+29584.26+99918+16181.7+96452.05+1261741.1+92631.74+3239679.94+22863.95+19440+29138.37+1468750</f>
        <v>9472880.4499999993</v>
      </c>
      <c r="P86" s="36"/>
      <c r="Q86" s="33"/>
      <c r="R86" s="33"/>
      <c r="S86" s="33">
        <f t="shared" si="29"/>
        <v>0</v>
      </c>
      <c r="AF86" s="6"/>
      <c r="AG86" s="6"/>
      <c r="AH86" s="6"/>
      <c r="AI86" s="6"/>
      <c r="AJ86" s="6"/>
      <c r="AK86" s="6"/>
      <c r="AL86" s="6"/>
      <c r="AM86" s="1"/>
    </row>
    <row r="87" spans="1:39" s="7" customFormat="1" ht="35.200000000000003" customHeight="1" x14ac:dyDescent="0.7">
      <c r="A87" s="45"/>
      <c r="B87" s="77" t="s">
        <v>86</v>
      </c>
      <c r="C87" s="77"/>
      <c r="D87" s="77"/>
      <c r="E87" s="59">
        <f>SUM(E80:E86)</f>
        <v>70300535</v>
      </c>
      <c r="F87" s="59">
        <f t="shared" ref="F87:R87" si="31">SUM(F80:F86)</f>
        <v>6300535</v>
      </c>
      <c r="G87" s="59">
        <f t="shared" si="31"/>
        <v>64000000</v>
      </c>
      <c r="H87" s="59">
        <f t="shared" si="31"/>
        <v>0</v>
      </c>
      <c r="I87" s="59">
        <f t="shared" si="31"/>
        <v>55207752.210000008</v>
      </c>
      <c r="J87" s="59">
        <f t="shared" si="31"/>
        <v>176297.41999999998</v>
      </c>
      <c r="K87" s="59">
        <f t="shared" si="31"/>
        <v>55031454.790000007</v>
      </c>
      <c r="L87" s="59">
        <f t="shared" si="31"/>
        <v>0</v>
      </c>
      <c r="M87" s="59">
        <f t="shared" si="31"/>
        <v>55207752.210000008</v>
      </c>
      <c r="N87" s="59">
        <f t="shared" si="31"/>
        <v>176297.41999999998</v>
      </c>
      <c r="O87" s="59">
        <f>SUM(O80:O86)</f>
        <v>55031454.790000007</v>
      </c>
      <c r="P87" s="59">
        <f t="shared" si="31"/>
        <v>0</v>
      </c>
      <c r="Q87" s="59">
        <f t="shared" si="31"/>
        <v>0</v>
      </c>
      <c r="R87" s="59">
        <f t="shared" si="31"/>
        <v>0</v>
      </c>
      <c r="S87" s="59">
        <f>SUM(S80:S86)</f>
        <v>0</v>
      </c>
      <c r="AF87" s="6"/>
      <c r="AG87" s="6"/>
      <c r="AH87" s="6"/>
      <c r="AI87" s="6"/>
      <c r="AJ87" s="6"/>
      <c r="AK87" s="6"/>
      <c r="AL87" s="6"/>
      <c r="AM87" s="1"/>
    </row>
    <row r="88" spans="1:39" s="7" customFormat="1" ht="37.5" customHeight="1" x14ac:dyDescent="0.65">
      <c r="A88" s="94" t="s">
        <v>67</v>
      </c>
      <c r="B88" s="94"/>
      <c r="C88" s="94"/>
      <c r="D88" s="94"/>
      <c r="E88" s="37">
        <f>SUM(E87+E79,E63,E58,E53)</f>
        <v>127939702</v>
      </c>
      <c r="F88" s="37">
        <f t="shared" ref="F88:S88" si="32">SUM(F87+F79,F63,F58,F53)</f>
        <v>8786944</v>
      </c>
      <c r="G88" s="37">
        <f t="shared" si="32"/>
        <v>92748682</v>
      </c>
      <c r="H88" s="37">
        <f t="shared" si="32"/>
        <v>26404076</v>
      </c>
      <c r="I88" s="37">
        <f t="shared" si="32"/>
        <v>100600639.37</v>
      </c>
      <c r="J88" s="37">
        <f t="shared" si="32"/>
        <v>1493069.05</v>
      </c>
      <c r="K88" s="37">
        <f t="shared" si="32"/>
        <v>82713866.150000006</v>
      </c>
      <c r="L88" s="37">
        <f t="shared" si="32"/>
        <v>16393704.17</v>
      </c>
      <c r="M88" s="37">
        <f t="shared" si="32"/>
        <v>100600639.37</v>
      </c>
      <c r="N88" s="37">
        <f t="shared" si="32"/>
        <v>1493069.0500000003</v>
      </c>
      <c r="O88" s="37">
        <f t="shared" si="32"/>
        <v>82713866.150000006</v>
      </c>
      <c r="P88" s="37">
        <f t="shared" si="32"/>
        <v>16393704.17</v>
      </c>
      <c r="Q88" s="37">
        <f t="shared" si="32"/>
        <v>0</v>
      </c>
      <c r="R88" s="37">
        <f t="shared" si="32"/>
        <v>0</v>
      </c>
      <c r="S88" s="37">
        <f t="shared" si="32"/>
        <v>0</v>
      </c>
      <c r="AF88" s="6"/>
      <c r="AG88" s="6"/>
      <c r="AH88" s="6"/>
      <c r="AI88" s="6"/>
      <c r="AJ88" s="6"/>
      <c r="AK88" s="6"/>
      <c r="AL88" s="6"/>
      <c r="AM88" s="1"/>
    </row>
    <row r="89" spans="1:39" s="25" customFormat="1" ht="78.75" customHeight="1" x14ac:dyDescent="0.7">
      <c r="A89" s="95">
        <v>1617461</v>
      </c>
      <c r="B89" s="95"/>
      <c r="C89" s="75">
        <v>3132</v>
      </c>
      <c r="D89" s="57" t="s">
        <v>30</v>
      </c>
      <c r="E89" s="32">
        <f>SUM(F89+G89+H89)</f>
        <v>11000</v>
      </c>
      <c r="F89" s="44">
        <v>11000</v>
      </c>
      <c r="G89" s="50"/>
      <c r="H89" s="44"/>
      <c r="I89" s="34">
        <f>SUM(J89+K89+L89)</f>
        <v>0</v>
      </c>
      <c r="J89" s="44"/>
      <c r="K89" s="44"/>
      <c r="L89" s="44"/>
      <c r="M89" s="35">
        <f>SUM(N89+O89+P89)</f>
        <v>0</v>
      </c>
      <c r="N89" s="44"/>
      <c r="O89" s="44"/>
      <c r="P89" s="44"/>
      <c r="Q89" s="44"/>
      <c r="R89" s="44"/>
      <c r="S89" s="44">
        <f>SUM(I89-M89)</f>
        <v>0</v>
      </c>
      <c r="AF89" s="26"/>
      <c r="AG89" s="26"/>
      <c r="AH89" s="26"/>
      <c r="AI89" s="26"/>
      <c r="AJ89" s="26"/>
      <c r="AK89" s="26"/>
      <c r="AL89" s="26"/>
      <c r="AM89" s="27"/>
    </row>
    <row r="90" spans="1:39" s="25" customFormat="1" ht="67.599999999999994" customHeight="1" x14ac:dyDescent="0.65">
      <c r="A90" s="96" t="s">
        <v>82</v>
      </c>
      <c r="B90" s="96"/>
      <c r="C90" s="96"/>
      <c r="D90" s="96"/>
      <c r="E90" s="38">
        <f>SUM(E89)</f>
        <v>11000</v>
      </c>
      <c r="F90" s="38">
        <f>SUM(F89)</f>
        <v>11000</v>
      </c>
      <c r="G90" s="38">
        <f>SUM(G89)</f>
        <v>0</v>
      </c>
      <c r="H90" s="38">
        <v>0</v>
      </c>
      <c r="I90" s="38">
        <f>SUM(I89)</f>
        <v>0</v>
      </c>
      <c r="J90" s="38"/>
      <c r="K90" s="38">
        <f>SUM(K89)</f>
        <v>0</v>
      </c>
      <c r="L90" s="38"/>
      <c r="M90" s="38">
        <f>SUM(M89)</f>
        <v>0</v>
      </c>
      <c r="N90" s="38"/>
      <c r="O90" s="38">
        <f>SUM(O89)</f>
        <v>0</v>
      </c>
      <c r="P90" s="38"/>
      <c r="Q90" s="38"/>
      <c r="R90" s="38"/>
      <c r="S90" s="38">
        <f>SUM(I90-M90)</f>
        <v>0</v>
      </c>
      <c r="AF90" s="26"/>
      <c r="AG90" s="26"/>
      <c r="AH90" s="26"/>
      <c r="AI90" s="26"/>
      <c r="AJ90" s="26"/>
      <c r="AK90" s="26"/>
      <c r="AL90" s="26"/>
      <c r="AM90" s="27"/>
    </row>
    <row r="91" spans="1:39" s="1" customFormat="1" ht="41.25" customHeight="1" x14ac:dyDescent="0.65">
      <c r="A91" s="60"/>
      <c r="B91" s="60"/>
      <c r="C91" s="61"/>
      <c r="D91" s="62" t="s">
        <v>16</v>
      </c>
      <c r="E91" s="63">
        <f>SUM(E13+E15+E17+E19+E21+E38+E40+E42+E88+E90)</f>
        <v>162005000</v>
      </c>
      <c r="F91" s="63">
        <f>SUM(F13+F15+F17+F19+F21+F38+F40+F42+F88+F90)</f>
        <v>24075649</v>
      </c>
      <c r="G91" s="63">
        <f>SUM(G13+G15+G17+G19+G21+G38+G40+G42+G88+G90)</f>
        <v>109923472</v>
      </c>
      <c r="H91" s="63">
        <f>SUM(H13+H15+H17+H19+H21+H38+H40+H42+H88+H90)</f>
        <v>28005879</v>
      </c>
      <c r="I91" s="63">
        <f t="shared" ref="I91:R91" si="33">SUM(I13+I15+I17+I19+I21+I38+I40+I42+I88+I90)</f>
        <v>133711680.71000001</v>
      </c>
      <c r="J91" s="63">
        <f t="shared" si="33"/>
        <v>16042867.840000004</v>
      </c>
      <c r="K91" s="63">
        <f t="shared" si="33"/>
        <v>99687366.930000007</v>
      </c>
      <c r="L91" s="63">
        <f t="shared" si="33"/>
        <v>17981445.940000001</v>
      </c>
      <c r="M91" s="63">
        <f t="shared" si="33"/>
        <v>133711680.71000001</v>
      </c>
      <c r="N91" s="63">
        <f t="shared" si="33"/>
        <v>16042867.839999998</v>
      </c>
      <c r="O91" s="63">
        <f t="shared" si="33"/>
        <v>99687366.930000007</v>
      </c>
      <c r="P91" s="63">
        <f t="shared" si="33"/>
        <v>17981445.940000001</v>
      </c>
      <c r="Q91" s="63">
        <f t="shared" si="33"/>
        <v>0</v>
      </c>
      <c r="R91" s="63">
        <f t="shared" si="33"/>
        <v>0</v>
      </c>
      <c r="S91" s="63">
        <f>SUM(S13+S15+S17+S19+S21+S38+S40+S42+S88+S90)</f>
        <v>0</v>
      </c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6"/>
      <c r="AG91" s="6"/>
      <c r="AH91" s="6"/>
      <c r="AI91" s="6"/>
      <c r="AJ91" s="6"/>
      <c r="AK91" s="6"/>
      <c r="AL91" s="6"/>
    </row>
    <row r="92" spans="1:39" s="1" customFormat="1" ht="26.55" customHeight="1" x14ac:dyDescent="0.85">
      <c r="A92" s="97" t="s">
        <v>74</v>
      </c>
      <c r="B92" s="97"/>
      <c r="C92" s="97"/>
      <c r="D92" s="20"/>
      <c r="E92" s="21"/>
      <c r="F92" s="20"/>
      <c r="G92" s="20"/>
      <c r="H92" s="20"/>
      <c r="I92" s="21"/>
      <c r="J92" s="20"/>
      <c r="K92" s="20"/>
      <c r="L92" s="20"/>
      <c r="M92" s="21"/>
      <c r="N92" s="22"/>
      <c r="O92" s="23"/>
      <c r="P92" s="24"/>
      <c r="Q92" s="24"/>
      <c r="R92" s="24"/>
      <c r="S92" s="24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6"/>
      <c r="AG92" s="6"/>
      <c r="AH92" s="6"/>
      <c r="AI92" s="6"/>
      <c r="AJ92" s="6"/>
      <c r="AK92" s="6"/>
      <c r="AL92" s="6"/>
    </row>
    <row r="93" spans="1:39" s="1" customFormat="1" ht="26.55" customHeight="1" x14ac:dyDescent="0.4">
      <c r="C93" s="2"/>
      <c r="E93" s="65"/>
      <c r="I93" s="66"/>
      <c r="M93" s="27"/>
      <c r="N93" s="6"/>
      <c r="O93" s="6"/>
      <c r="P93" s="6"/>
      <c r="Q93" s="6"/>
      <c r="R93" s="6"/>
      <c r="S93" s="6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6"/>
      <c r="AG93" s="6"/>
      <c r="AH93" s="6"/>
      <c r="AI93" s="6"/>
      <c r="AJ93" s="6"/>
      <c r="AK93" s="6"/>
      <c r="AL93" s="6"/>
    </row>
    <row r="94" spans="1:39" s="1" customFormat="1" ht="26.55" customHeight="1" x14ac:dyDescent="0.4">
      <c r="C94" s="2"/>
      <c r="E94" s="65"/>
      <c r="I94" s="66"/>
      <c r="M94" s="27"/>
      <c r="N94" s="6"/>
      <c r="O94" s="6"/>
      <c r="P94" s="6"/>
      <c r="Q94" s="6"/>
      <c r="R94" s="6"/>
      <c r="S94" s="6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6"/>
      <c r="AG94" s="6"/>
      <c r="AH94" s="6"/>
      <c r="AI94" s="6"/>
      <c r="AJ94" s="6"/>
      <c r="AK94" s="6"/>
      <c r="AL94" s="6"/>
    </row>
    <row r="95" spans="1:39" s="1" customFormat="1" ht="26.55" customHeight="1" x14ac:dyDescent="0.4">
      <c r="C95" s="2"/>
      <c r="E95" s="65"/>
      <c r="I95" s="66"/>
      <c r="M95" s="27"/>
      <c r="N95" s="6"/>
      <c r="O95" s="6"/>
      <c r="P95" s="6"/>
      <c r="Q95" s="6"/>
      <c r="R95" s="6"/>
      <c r="S95" s="6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6"/>
      <c r="AG95" s="6"/>
      <c r="AH95" s="6"/>
      <c r="AI95" s="6"/>
      <c r="AJ95" s="6"/>
      <c r="AK95" s="6"/>
      <c r="AL95" s="6"/>
    </row>
    <row r="96" spans="1:39" s="1" customFormat="1" ht="26.55" customHeight="1" x14ac:dyDescent="0.4">
      <c r="C96" s="2"/>
      <c r="E96" s="65"/>
      <c r="I96" s="66"/>
      <c r="M96" s="27"/>
      <c r="N96" s="6"/>
      <c r="O96" s="6"/>
      <c r="P96" s="6"/>
      <c r="Q96" s="6"/>
      <c r="R96" s="6"/>
      <c r="S96" s="6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6"/>
      <c r="AG96" s="6"/>
      <c r="AH96" s="6"/>
      <c r="AI96" s="6"/>
      <c r="AJ96" s="6"/>
      <c r="AK96" s="6"/>
      <c r="AL96" s="6"/>
    </row>
  </sheetData>
  <sheetProtection selectLockedCells="1" selectUnlockedCells="1"/>
  <mergeCells count="58">
    <mergeCell ref="A88:D88"/>
    <mergeCell ref="A89:B89"/>
    <mergeCell ref="A90:D90"/>
    <mergeCell ref="A92:C92"/>
    <mergeCell ref="B59:B62"/>
    <mergeCell ref="B63:D63"/>
    <mergeCell ref="B65:B66"/>
    <mergeCell ref="A76:A86"/>
    <mergeCell ref="B79:D79"/>
    <mergeCell ref="B80:B86"/>
    <mergeCell ref="A43:A70"/>
    <mergeCell ref="B43:B52"/>
    <mergeCell ref="B53:D53"/>
    <mergeCell ref="B54:B57"/>
    <mergeCell ref="B58:D58"/>
    <mergeCell ref="A38:B38"/>
    <mergeCell ref="A40:B40"/>
    <mergeCell ref="C40:D40"/>
    <mergeCell ref="A42:B42"/>
    <mergeCell ref="C42:D42"/>
    <mergeCell ref="A37:B37"/>
    <mergeCell ref="A13:D13"/>
    <mergeCell ref="A15:D15"/>
    <mergeCell ref="A17:D17"/>
    <mergeCell ref="A19:D19"/>
    <mergeCell ref="A21:B21"/>
    <mergeCell ref="C21:D21"/>
    <mergeCell ref="A22:A23"/>
    <mergeCell ref="A24:B24"/>
    <mergeCell ref="A25:A30"/>
    <mergeCell ref="A33:B33"/>
    <mergeCell ref="A35:B35"/>
    <mergeCell ref="R10:R11"/>
    <mergeCell ref="J9:L9"/>
    <mergeCell ref="M9:M11"/>
    <mergeCell ref="N9:P9"/>
    <mergeCell ref="Q9:R9"/>
    <mergeCell ref="L10:L11"/>
    <mergeCell ref="N10:N11"/>
    <mergeCell ref="O10:O11"/>
    <mergeCell ref="P10:P11"/>
    <mergeCell ref="Q10:Q11"/>
    <mergeCell ref="A5:S5"/>
    <mergeCell ref="A6:S6"/>
    <mergeCell ref="A7:S7"/>
    <mergeCell ref="A9:A11"/>
    <mergeCell ref="B9:B11"/>
    <mergeCell ref="C9:C11"/>
    <mergeCell ref="D9:D11"/>
    <mergeCell ref="E9:E11"/>
    <mergeCell ref="F9:H9"/>
    <mergeCell ref="I9:I11"/>
    <mergeCell ref="S9:S11"/>
    <mergeCell ref="F10:F11"/>
    <mergeCell ref="G10:G11"/>
    <mergeCell ref="H10:H11"/>
    <mergeCell ref="J10:J11"/>
    <mergeCell ref="K10:K11"/>
  </mergeCells>
  <pageMargins left="3.937007874015748E-2" right="3.937007874015748E-2" top="0.35433070866141736" bottom="0.35433070866141736" header="0.11811023622047245" footer="0.11811023622047245"/>
  <pageSetup paperSize="9" scale="14" firstPageNumber="0" fitToHeight="5" orientation="landscape" horizontalDpi="300" verticalDpi="300" r:id="rId1"/>
  <headerFooter alignWithMargins="0"/>
  <rowBreaks count="2" manualBreakCount="2">
    <brk id="38" max="16383" man="1"/>
    <brk id="86" max="18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31.12.2020</vt:lpstr>
      <vt:lpstr>'31.12.2020'!Заголовки_для_друку</vt:lpstr>
      <vt:lpstr>'31.12.2020'!Область_друку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2020-12-30T07:25:57Z</cp:lastPrinted>
  <dcterms:created xsi:type="dcterms:W3CDTF">2020-12-20T17:46:02Z</dcterms:created>
  <dcterms:modified xsi:type="dcterms:W3CDTF">2020-12-31T11:48:35Z</dcterms:modified>
</cp:coreProperties>
</file>